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fmee\Desktop\"/>
    </mc:Choice>
  </mc:AlternateContent>
  <xr:revisionPtr revIDLastSave="0" documentId="8_{C66E1D97-28D4-426F-865E-A90325BBAE3D}" xr6:coauthVersionLast="47" xr6:coauthVersionMax="47" xr10:uidLastSave="{00000000-0000-0000-0000-000000000000}"/>
  <bookViews>
    <workbookView xWindow="-120" yWindow="-120" windowWidth="29040" windowHeight="15840" xr2:uid="{A697BC89-368B-4963-AB85-A3D8E3F97399}"/>
  </bookViews>
  <sheets>
    <sheet name="Debt &amp; Cust Dep" sheetId="1" r:id="rId1"/>
  </sheets>
  <externalReferences>
    <externalReference r:id="rId2"/>
  </externalReferences>
  <definedNames>
    <definedName name="dcHundred">100</definedName>
    <definedName name="dcMillions">1000000</definedName>
    <definedName name="dcMonthsinYear">12</definedName>
    <definedName name="dcThousands">1000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44420.558275463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'Debt &amp; Cust Dep'!$A$1:$EM$94</definedName>
    <definedName name="Surv_support">#REF!</definedName>
    <definedName name="Tolerance">[1]INTERFACE!$F$3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L86" i="1" l="1"/>
  <c r="DK86" i="1"/>
  <c r="DJ86" i="1"/>
  <c r="DI86" i="1"/>
  <c r="DH86" i="1"/>
  <c r="DG86" i="1"/>
  <c r="DF86" i="1"/>
  <c r="DE86" i="1"/>
  <c r="DD86" i="1"/>
  <c r="DC86" i="1"/>
  <c r="DB86" i="1"/>
  <c r="DA86" i="1"/>
  <c r="DL88" i="1" s="1"/>
  <c r="CZ86" i="1"/>
  <c r="DK88" i="1" s="1"/>
  <c r="CY86" i="1"/>
  <c r="DJ88" i="1" s="1"/>
  <c r="CX86" i="1"/>
  <c r="CW86" i="1"/>
  <c r="CV86" i="1"/>
  <c r="CU86" i="1"/>
  <c r="DF88" i="1" s="1"/>
  <c r="CT86" i="1"/>
  <c r="DE88" i="1" s="1"/>
  <c r="CS86" i="1"/>
  <c r="DD88" i="1" s="1"/>
  <c r="CR86" i="1"/>
  <c r="DC88" i="1" s="1"/>
  <c r="CQ86" i="1"/>
  <c r="DB88" i="1" s="1"/>
  <c r="CP86" i="1"/>
  <c r="CO86" i="1"/>
  <c r="CN86" i="1"/>
  <c r="CM86" i="1"/>
  <c r="CX88" i="1" s="1"/>
  <c r="CL86" i="1"/>
  <c r="CW88" i="1" s="1"/>
  <c r="CK86" i="1"/>
  <c r="CV88" i="1" s="1"/>
  <c r="CJ86" i="1"/>
  <c r="CU88" i="1" s="1"/>
  <c r="CI86" i="1"/>
  <c r="CT88" i="1" s="1"/>
  <c r="CH86" i="1"/>
  <c r="CG86" i="1"/>
  <c r="CF86" i="1"/>
  <c r="CE86" i="1"/>
  <c r="CP88" i="1" s="1"/>
  <c r="CD86" i="1"/>
  <c r="CO88" i="1" s="1"/>
  <c r="CC86" i="1"/>
  <c r="CN88" i="1" s="1"/>
  <c r="CB86" i="1"/>
  <c r="CM88" i="1" s="1"/>
  <c r="CA86" i="1"/>
  <c r="CL88" i="1" s="1"/>
  <c r="BZ86" i="1"/>
  <c r="BY86" i="1"/>
  <c r="BX86" i="1"/>
  <c r="BW86" i="1"/>
  <c r="ED85" i="1"/>
  <c r="ED86" i="1" s="1"/>
  <c r="EC85" i="1"/>
  <c r="EC86" i="1" s="1"/>
  <c r="EB85" i="1"/>
  <c r="EB86" i="1" s="1"/>
  <c r="EA85" i="1"/>
  <c r="EA86" i="1" s="1"/>
  <c r="DZ85" i="1"/>
  <c r="DZ86" i="1" s="1"/>
  <c r="DY85" i="1"/>
  <c r="DY86" i="1" s="1"/>
  <c r="DX85" i="1"/>
  <c r="DX86" i="1" s="1"/>
  <c r="DW85" i="1"/>
  <c r="DW86" i="1" s="1"/>
  <c r="DV85" i="1"/>
  <c r="DV86" i="1" s="1"/>
  <c r="DU85" i="1"/>
  <c r="DU86" i="1" s="1"/>
  <c r="DT85" i="1"/>
  <c r="DT86" i="1" s="1"/>
  <c r="DS85" i="1"/>
  <c r="DS86" i="1" s="1"/>
  <c r="DR85" i="1"/>
  <c r="DR86" i="1" s="1"/>
  <c r="DQ85" i="1"/>
  <c r="DQ86" i="1" s="1"/>
  <c r="EB88" i="1" s="1"/>
  <c r="DP85" i="1"/>
  <c r="DP86" i="1" s="1"/>
  <c r="DO85" i="1"/>
  <c r="DO86" i="1" s="1"/>
  <c r="DN85" i="1"/>
  <c r="DN86" i="1" s="1"/>
  <c r="DM85" i="1"/>
  <c r="DM86" i="1" s="1"/>
  <c r="DL79" i="1"/>
  <c r="DA79" i="1"/>
  <c r="CN79" i="1"/>
  <c r="EB77" i="1"/>
  <c r="DQ77" i="1"/>
  <c r="DL77" i="1"/>
  <c r="DK77" i="1"/>
  <c r="DJ77" i="1"/>
  <c r="DI77" i="1"/>
  <c r="DH77" i="1"/>
  <c r="DG77" i="1"/>
  <c r="DF77" i="1"/>
  <c r="DE77" i="1"/>
  <c r="DD77" i="1"/>
  <c r="DC77" i="1"/>
  <c r="DB77" i="1"/>
  <c r="DA77" i="1"/>
  <c r="CZ77" i="1"/>
  <c r="CY77" i="1"/>
  <c r="CX77" i="1"/>
  <c r="CW77" i="1"/>
  <c r="CV77" i="1"/>
  <c r="DH79" i="1" s="1"/>
  <c r="CU77" i="1"/>
  <c r="DG79" i="1" s="1"/>
  <c r="CT77" i="1"/>
  <c r="DF79" i="1" s="1"/>
  <c r="CS77" i="1"/>
  <c r="CR77" i="1"/>
  <c r="CQ77" i="1"/>
  <c r="CP77" i="1"/>
  <c r="CO77" i="1"/>
  <c r="CN77" i="1"/>
  <c r="CZ79" i="1" s="1"/>
  <c r="CM77" i="1"/>
  <c r="CL77" i="1"/>
  <c r="CX79" i="1" s="1"/>
  <c r="CK77" i="1"/>
  <c r="CJ77" i="1"/>
  <c r="CI77" i="1"/>
  <c r="CH77" i="1"/>
  <c r="CG77" i="1"/>
  <c r="CF77" i="1"/>
  <c r="CR79" i="1" s="1"/>
  <c r="CE77" i="1"/>
  <c r="CD77" i="1"/>
  <c r="CP79" i="1" s="1"/>
  <c r="CC77" i="1"/>
  <c r="CB77" i="1"/>
  <c r="CA77" i="1"/>
  <c r="BZ77" i="1"/>
  <c r="BY77" i="1"/>
  <c r="BX77" i="1"/>
  <c r="CJ79" i="1" s="1"/>
  <c r="BW77" i="1"/>
  <c r="ED76" i="1"/>
  <c r="EC76" i="1"/>
  <c r="EB76" i="1"/>
  <c r="EA76" i="1"/>
  <c r="DZ76" i="1"/>
  <c r="DY76" i="1"/>
  <c r="DX76" i="1"/>
  <c r="DW76" i="1"/>
  <c r="DV76" i="1"/>
  <c r="DU76" i="1"/>
  <c r="DT76" i="1"/>
  <c r="DS76" i="1"/>
  <c r="DR76" i="1"/>
  <c r="DQ76" i="1"/>
  <c r="DP76" i="1"/>
  <c r="DO76" i="1"/>
  <c r="DN76" i="1"/>
  <c r="DM76" i="1"/>
  <c r="ED75" i="1"/>
  <c r="EC75" i="1"/>
  <c r="EB75" i="1"/>
  <c r="EA75" i="1"/>
  <c r="DZ75" i="1"/>
  <c r="DY75" i="1"/>
  <c r="DX75" i="1"/>
  <c r="DW75" i="1"/>
  <c r="DV75" i="1"/>
  <c r="DU75" i="1"/>
  <c r="DT75" i="1"/>
  <c r="DS75" i="1"/>
  <c r="DR75" i="1"/>
  <c r="DQ75" i="1"/>
  <c r="DP75" i="1"/>
  <c r="DO75" i="1"/>
  <c r="DN75" i="1"/>
  <c r="DM75" i="1"/>
  <c r="ED74" i="1"/>
  <c r="ED77" i="1" s="1"/>
  <c r="EC74" i="1"/>
  <c r="EC77" i="1" s="1"/>
  <c r="EB74" i="1"/>
  <c r="EA74" i="1"/>
  <c r="EA77" i="1" s="1"/>
  <c r="DZ74" i="1"/>
  <c r="DZ77" i="1" s="1"/>
  <c r="DY74" i="1"/>
  <c r="DY77" i="1" s="1"/>
  <c r="DX74" i="1"/>
  <c r="DX77" i="1" s="1"/>
  <c r="DW74" i="1"/>
  <c r="DV74" i="1"/>
  <c r="DV77" i="1" s="1"/>
  <c r="DU74" i="1"/>
  <c r="DU77" i="1" s="1"/>
  <c r="DT74" i="1"/>
  <c r="DT77" i="1" s="1"/>
  <c r="DS74" i="1"/>
  <c r="DS77" i="1" s="1"/>
  <c r="DR74" i="1"/>
  <c r="DR77" i="1" s="1"/>
  <c r="DQ74" i="1"/>
  <c r="DP74" i="1"/>
  <c r="DP77" i="1" s="1"/>
  <c r="DO74" i="1"/>
  <c r="DN74" i="1"/>
  <c r="DN77" i="1" s="1"/>
  <c r="DM74" i="1"/>
  <c r="DM77" i="1" s="1"/>
  <c r="ED61" i="1"/>
  <c r="EC61" i="1"/>
  <c r="EB61" i="1"/>
  <c r="EA61" i="1"/>
  <c r="DZ61" i="1"/>
  <c r="DY61" i="1"/>
  <c r="DX61" i="1"/>
  <c r="DW61" i="1"/>
  <c r="DV61" i="1"/>
  <c r="DU61" i="1"/>
  <c r="DT61" i="1"/>
  <c r="DS61" i="1"/>
  <c r="DR61" i="1"/>
  <c r="DQ61" i="1"/>
  <c r="DP61" i="1"/>
  <c r="DO61" i="1"/>
  <c r="DN61" i="1"/>
  <c r="DM61" i="1"/>
  <c r="DL61" i="1"/>
  <c r="DK61" i="1"/>
  <c r="DJ61" i="1"/>
  <c r="DI61" i="1"/>
  <c r="DH61" i="1"/>
  <c r="DG61" i="1"/>
  <c r="DF61" i="1"/>
  <c r="DE61" i="1"/>
  <c r="DD61" i="1"/>
  <c r="DC61" i="1"/>
  <c r="DB61" i="1"/>
  <c r="DA61" i="1"/>
  <c r="CZ61" i="1"/>
  <c r="CY61" i="1"/>
  <c r="CX61" i="1"/>
  <c r="CW61" i="1"/>
  <c r="CV61" i="1"/>
  <c r="CU61" i="1"/>
  <c r="CT61" i="1"/>
  <c r="CS61" i="1"/>
  <c r="CR61" i="1"/>
  <c r="CQ61" i="1"/>
  <c r="CP61" i="1"/>
  <c r="CO61" i="1"/>
  <c r="CN61" i="1"/>
  <c r="CM61" i="1"/>
  <c r="CL61" i="1"/>
  <c r="CK61" i="1"/>
  <c r="CJ61" i="1"/>
  <c r="CI61" i="1"/>
  <c r="CH61" i="1"/>
  <c r="CG61" i="1"/>
  <c r="CF61" i="1"/>
  <c r="CE61" i="1"/>
  <c r="CD61" i="1"/>
  <c r="CC61" i="1"/>
  <c r="CB61" i="1"/>
  <c r="CA61" i="1"/>
  <c r="BZ61" i="1"/>
  <c r="BY61" i="1"/>
  <c r="BX61" i="1"/>
  <c r="BW61" i="1"/>
  <c r="ED60" i="1"/>
  <c r="EC60" i="1"/>
  <c r="EB60" i="1"/>
  <c r="EA60" i="1"/>
  <c r="DZ60" i="1"/>
  <c r="DY60" i="1"/>
  <c r="DX60" i="1"/>
  <c r="DW60" i="1"/>
  <c r="DV60" i="1"/>
  <c r="DU60" i="1"/>
  <c r="DT60" i="1"/>
  <c r="DS60" i="1"/>
  <c r="DR60" i="1"/>
  <c r="DQ60" i="1"/>
  <c r="DP60" i="1"/>
  <c r="DO60" i="1"/>
  <c r="DN60" i="1"/>
  <c r="DM60" i="1"/>
  <c r="DL60" i="1"/>
  <c r="DK60" i="1"/>
  <c r="DJ60" i="1"/>
  <c r="DI60" i="1"/>
  <c r="DH60" i="1"/>
  <c r="DG60" i="1"/>
  <c r="DF60" i="1"/>
  <c r="DE60" i="1"/>
  <c r="DD60" i="1"/>
  <c r="DC60" i="1"/>
  <c r="DB60" i="1"/>
  <c r="DA60" i="1"/>
  <c r="CZ60" i="1"/>
  <c r="CY60" i="1"/>
  <c r="CX60" i="1"/>
  <c r="CW60" i="1"/>
  <c r="CV60" i="1"/>
  <c r="CU60" i="1"/>
  <c r="CT60" i="1"/>
  <c r="CS60" i="1"/>
  <c r="CR60" i="1"/>
  <c r="CQ60" i="1"/>
  <c r="CP60" i="1"/>
  <c r="CO60" i="1"/>
  <c r="CN60" i="1"/>
  <c r="CM60" i="1"/>
  <c r="CL60" i="1"/>
  <c r="CK60" i="1"/>
  <c r="CJ60" i="1"/>
  <c r="CI60" i="1"/>
  <c r="CH60" i="1"/>
  <c r="CG60" i="1"/>
  <c r="CF60" i="1"/>
  <c r="CE60" i="1"/>
  <c r="CD60" i="1"/>
  <c r="CC60" i="1"/>
  <c r="CB60" i="1"/>
  <c r="CA60" i="1"/>
  <c r="BZ60" i="1"/>
  <c r="BY60" i="1"/>
  <c r="BX60" i="1"/>
  <c r="BW60" i="1"/>
  <c r="ED59" i="1"/>
  <c r="EC59" i="1"/>
  <c r="EB59" i="1"/>
  <c r="EA59" i="1"/>
  <c r="DZ59" i="1"/>
  <c r="DY59" i="1"/>
  <c r="DX59" i="1"/>
  <c r="DW59" i="1"/>
  <c r="DV59" i="1"/>
  <c r="DU59" i="1"/>
  <c r="DT59" i="1"/>
  <c r="DS59" i="1"/>
  <c r="DR59" i="1"/>
  <c r="DQ59" i="1"/>
  <c r="DP59" i="1"/>
  <c r="DO59" i="1"/>
  <c r="DN59" i="1"/>
  <c r="DM59" i="1"/>
  <c r="DL59" i="1"/>
  <c r="DK59" i="1"/>
  <c r="DJ59" i="1"/>
  <c r="DI59" i="1"/>
  <c r="DH59" i="1"/>
  <c r="DG59" i="1"/>
  <c r="DF59" i="1"/>
  <c r="DE59" i="1"/>
  <c r="DD59" i="1"/>
  <c r="DC59" i="1"/>
  <c r="DB59" i="1"/>
  <c r="DA59" i="1"/>
  <c r="CZ59" i="1"/>
  <c r="CY59" i="1"/>
  <c r="CX59" i="1"/>
  <c r="CW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ED58" i="1"/>
  <c r="EC58" i="1"/>
  <c r="EB58" i="1"/>
  <c r="EA58" i="1"/>
  <c r="DZ58" i="1"/>
  <c r="DZ62" i="1" s="1"/>
  <c r="DY58" i="1"/>
  <c r="DX58" i="1"/>
  <c r="DW58" i="1"/>
  <c r="DW62" i="1" s="1"/>
  <c r="DV58" i="1"/>
  <c r="DU58" i="1"/>
  <c r="DT58" i="1"/>
  <c r="DS58" i="1"/>
  <c r="DR58" i="1"/>
  <c r="DQ58" i="1"/>
  <c r="DP58" i="1"/>
  <c r="DO58" i="1"/>
  <c r="DO62" i="1" s="1"/>
  <c r="DN58" i="1"/>
  <c r="DM58" i="1"/>
  <c r="DL58" i="1"/>
  <c r="DK58" i="1"/>
  <c r="DJ58" i="1"/>
  <c r="DI58" i="1"/>
  <c r="DH58" i="1"/>
  <c r="DG58" i="1"/>
  <c r="DG62" i="1" s="1"/>
  <c r="DF58" i="1"/>
  <c r="DE58" i="1"/>
  <c r="DD58" i="1"/>
  <c r="DC58" i="1"/>
  <c r="DB58" i="1"/>
  <c r="DA58" i="1"/>
  <c r="CZ58" i="1"/>
  <c r="CY58" i="1"/>
  <c r="CY62" i="1" s="1"/>
  <c r="CX58" i="1"/>
  <c r="CW58" i="1"/>
  <c r="CV58" i="1"/>
  <c r="CU58" i="1"/>
  <c r="CT58" i="1"/>
  <c r="CS58" i="1"/>
  <c r="CR58" i="1"/>
  <c r="CQ58" i="1"/>
  <c r="CQ62" i="1" s="1"/>
  <c r="CP58" i="1"/>
  <c r="CO58" i="1"/>
  <c r="CN58" i="1"/>
  <c r="CM58" i="1"/>
  <c r="CL58" i="1"/>
  <c r="CK58" i="1"/>
  <c r="CJ58" i="1"/>
  <c r="CI58" i="1"/>
  <c r="CI62" i="1" s="1"/>
  <c r="CH58" i="1"/>
  <c r="CG58" i="1"/>
  <c r="CF58" i="1"/>
  <c r="CE58" i="1"/>
  <c r="CD58" i="1"/>
  <c r="CC58" i="1"/>
  <c r="CB58" i="1"/>
  <c r="CA58" i="1"/>
  <c r="CA62" i="1" s="1"/>
  <c r="BZ58" i="1"/>
  <c r="BY58" i="1"/>
  <c r="BX58" i="1"/>
  <c r="BW58" i="1"/>
  <c r="ED57" i="1"/>
  <c r="ED62" i="1" s="1"/>
  <c r="EC57" i="1"/>
  <c r="EC62" i="1" s="1"/>
  <c r="EB57" i="1"/>
  <c r="EB62" i="1" s="1"/>
  <c r="EA57" i="1"/>
  <c r="EA62" i="1" s="1"/>
  <c r="DZ57" i="1"/>
  <c r="DY57" i="1"/>
  <c r="DY62" i="1" s="1"/>
  <c r="DX57" i="1"/>
  <c r="DX62" i="1" s="1"/>
  <c r="DW57" i="1"/>
  <c r="DV57" i="1"/>
  <c r="DV62" i="1" s="1"/>
  <c r="DU57" i="1"/>
  <c r="DU62" i="1" s="1"/>
  <c r="DT57" i="1"/>
  <c r="DT62" i="1" s="1"/>
  <c r="DS57" i="1"/>
  <c r="DS62" i="1" s="1"/>
  <c r="ED64" i="1" s="1"/>
  <c r="DR57" i="1"/>
  <c r="DR62" i="1" s="1"/>
  <c r="DQ57" i="1"/>
  <c r="DQ62" i="1" s="1"/>
  <c r="DP57" i="1"/>
  <c r="DP62" i="1" s="1"/>
  <c r="DO57" i="1"/>
  <c r="DN57" i="1"/>
  <c r="DN62" i="1" s="1"/>
  <c r="DM57" i="1"/>
  <c r="DM62" i="1" s="1"/>
  <c r="DL57" i="1"/>
  <c r="DL62" i="1" s="1"/>
  <c r="DK57" i="1"/>
  <c r="DK62" i="1" s="1"/>
  <c r="DV64" i="1" s="1"/>
  <c r="DJ57" i="1"/>
  <c r="DJ62" i="1" s="1"/>
  <c r="DI57" i="1"/>
  <c r="DI62" i="1" s="1"/>
  <c r="DH57" i="1"/>
  <c r="DH62" i="1" s="1"/>
  <c r="DG57" i="1"/>
  <c r="DF57" i="1"/>
  <c r="DF62" i="1" s="1"/>
  <c r="DE57" i="1"/>
  <c r="DE62" i="1" s="1"/>
  <c r="DD57" i="1"/>
  <c r="DD62" i="1" s="1"/>
  <c r="DC57" i="1"/>
  <c r="DC62" i="1" s="1"/>
  <c r="DN64" i="1" s="1"/>
  <c r="DB57" i="1"/>
  <c r="DB62" i="1" s="1"/>
  <c r="DA57" i="1"/>
  <c r="DA62" i="1" s="1"/>
  <c r="CZ57" i="1"/>
  <c r="CZ62" i="1" s="1"/>
  <c r="CY57" i="1"/>
  <c r="CX57" i="1"/>
  <c r="CX62" i="1" s="1"/>
  <c r="CW57" i="1"/>
  <c r="CW62" i="1" s="1"/>
  <c r="CV57" i="1"/>
  <c r="CV62" i="1" s="1"/>
  <c r="CU57" i="1"/>
  <c r="CU62" i="1" s="1"/>
  <c r="DF64" i="1" s="1"/>
  <c r="CT57" i="1"/>
  <c r="CT62" i="1" s="1"/>
  <c r="CS57" i="1"/>
  <c r="CS62" i="1" s="1"/>
  <c r="CR57" i="1"/>
  <c r="CR62" i="1" s="1"/>
  <c r="CQ57" i="1"/>
  <c r="CP57" i="1"/>
  <c r="CP62" i="1" s="1"/>
  <c r="CO57" i="1"/>
  <c r="CO62" i="1" s="1"/>
  <c r="CN57" i="1"/>
  <c r="CN62" i="1" s="1"/>
  <c r="CM57" i="1"/>
  <c r="CM62" i="1" s="1"/>
  <c r="CX64" i="1" s="1"/>
  <c r="CL57" i="1"/>
  <c r="CL62" i="1" s="1"/>
  <c r="CK57" i="1"/>
  <c r="CK62" i="1" s="1"/>
  <c r="CJ57" i="1"/>
  <c r="CJ62" i="1" s="1"/>
  <c r="CI57" i="1"/>
  <c r="CH57" i="1"/>
  <c r="CH62" i="1" s="1"/>
  <c r="CG57" i="1"/>
  <c r="CG62" i="1" s="1"/>
  <c r="CF57" i="1"/>
  <c r="CF62" i="1" s="1"/>
  <c r="CE57" i="1"/>
  <c r="CE62" i="1" s="1"/>
  <c r="CD57" i="1"/>
  <c r="CD62" i="1" s="1"/>
  <c r="CO64" i="1" s="1"/>
  <c r="CC57" i="1"/>
  <c r="CC62" i="1" s="1"/>
  <c r="CB57" i="1"/>
  <c r="CB62" i="1" s="1"/>
  <c r="CA57" i="1"/>
  <c r="BZ57" i="1"/>
  <c r="BZ62" i="1" s="1"/>
  <c r="BY57" i="1"/>
  <c r="BY62" i="1" s="1"/>
  <c r="BX57" i="1"/>
  <c r="BX62" i="1" s="1"/>
  <c r="BW57" i="1"/>
  <c r="BW62" i="1" s="1"/>
  <c r="ED51" i="1"/>
  <c r="DY51" i="1"/>
  <c r="DW51" i="1"/>
  <c r="DV51" i="1"/>
  <c r="DO51" i="1"/>
  <c r="DN51" i="1"/>
  <c r="DK51" i="1"/>
  <c r="DJ51" i="1"/>
  <c r="CX51" i="1"/>
  <c r="CT51" i="1"/>
  <c r="CH51" i="1"/>
  <c r="CD51" i="1"/>
  <c r="ED50" i="1"/>
  <c r="EC50" i="1"/>
  <c r="EB50" i="1"/>
  <c r="EA50" i="1"/>
  <c r="DZ50" i="1"/>
  <c r="DY50" i="1"/>
  <c r="DX50" i="1"/>
  <c r="DW50" i="1"/>
  <c r="DV50" i="1"/>
  <c r="DU50" i="1"/>
  <c r="DT50" i="1"/>
  <c r="DS50" i="1"/>
  <c r="DR50" i="1"/>
  <c r="DQ50" i="1"/>
  <c r="DP50" i="1"/>
  <c r="DO50" i="1"/>
  <c r="DN50" i="1"/>
  <c r="DM50" i="1"/>
  <c r="DL50" i="1"/>
  <c r="DK50" i="1"/>
  <c r="DJ50" i="1"/>
  <c r="DI50" i="1"/>
  <c r="DH50" i="1"/>
  <c r="DG50" i="1"/>
  <c r="DF50" i="1"/>
  <c r="DE50" i="1"/>
  <c r="DD50" i="1"/>
  <c r="DC50" i="1"/>
  <c r="DB50" i="1"/>
  <c r="DA50" i="1"/>
  <c r="CZ50" i="1"/>
  <c r="CY50" i="1"/>
  <c r="CX50" i="1"/>
  <c r="CW50" i="1"/>
  <c r="CW51" i="1" s="1"/>
  <c r="CV50" i="1"/>
  <c r="CU50" i="1"/>
  <c r="CT50" i="1"/>
  <c r="CS50" i="1"/>
  <c r="CR50" i="1"/>
  <c r="CQ50" i="1"/>
  <c r="CP50" i="1"/>
  <c r="CO50" i="1"/>
  <c r="CO51" i="1" s="1"/>
  <c r="CN50" i="1"/>
  <c r="CM50" i="1"/>
  <c r="CL50" i="1"/>
  <c r="CK50" i="1"/>
  <c r="CJ50" i="1"/>
  <c r="CI50" i="1"/>
  <c r="CH50" i="1"/>
  <c r="CG50" i="1"/>
  <c r="CF50" i="1"/>
  <c r="CE50" i="1"/>
  <c r="CD50" i="1"/>
  <c r="CC50" i="1"/>
  <c r="CB50" i="1"/>
  <c r="CA50" i="1"/>
  <c r="BZ50" i="1"/>
  <c r="BY50" i="1"/>
  <c r="BX50" i="1"/>
  <c r="BW50" i="1"/>
  <c r="ED49" i="1"/>
  <c r="EC49" i="1"/>
  <c r="EB49" i="1"/>
  <c r="EB51" i="1" s="1"/>
  <c r="EA49" i="1"/>
  <c r="EA51" i="1" s="1"/>
  <c r="DZ49" i="1"/>
  <c r="DZ51" i="1" s="1"/>
  <c r="DY49" i="1"/>
  <c r="DX49" i="1"/>
  <c r="DW49" i="1"/>
  <c r="DV49" i="1"/>
  <c r="DU49" i="1"/>
  <c r="DT49" i="1"/>
  <c r="DT51" i="1" s="1"/>
  <c r="DS49" i="1"/>
  <c r="DS51" i="1" s="1"/>
  <c r="DR49" i="1"/>
  <c r="DR51" i="1" s="1"/>
  <c r="DQ49" i="1"/>
  <c r="DQ51" i="1" s="1"/>
  <c r="DP49" i="1"/>
  <c r="DO49" i="1"/>
  <c r="DN49" i="1"/>
  <c r="DM49" i="1"/>
  <c r="DL49" i="1"/>
  <c r="DL51" i="1" s="1"/>
  <c r="DK49" i="1"/>
  <c r="DJ49" i="1"/>
  <c r="DI49" i="1"/>
  <c r="DI51" i="1" s="1"/>
  <c r="DH49" i="1"/>
  <c r="DG49" i="1"/>
  <c r="DF49" i="1"/>
  <c r="DF51" i="1" s="1"/>
  <c r="DE49" i="1"/>
  <c r="DD49" i="1"/>
  <c r="DD51" i="1" s="1"/>
  <c r="DC49" i="1"/>
  <c r="DC51" i="1" s="1"/>
  <c r="DB49" i="1"/>
  <c r="DB51" i="1" s="1"/>
  <c r="DA49" i="1"/>
  <c r="DA51" i="1" s="1"/>
  <c r="CZ49" i="1"/>
  <c r="CY49" i="1"/>
  <c r="CX49" i="1"/>
  <c r="CW49" i="1"/>
  <c r="CV49" i="1"/>
  <c r="CV51" i="1" s="1"/>
  <c r="CU49" i="1"/>
  <c r="CU51" i="1" s="1"/>
  <c r="CT49" i="1"/>
  <c r="CS49" i="1"/>
  <c r="CS51" i="1" s="1"/>
  <c r="CR49" i="1"/>
  <c r="CQ49" i="1"/>
  <c r="CP49" i="1"/>
  <c r="CP51" i="1" s="1"/>
  <c r="CO49" i="1"/>
  <c r="CN49" i="1"/>
  <c r="CN51" i="1" s="1"/>
  <c r="CM49" i="1"/>
  <c r="CM51" i="1" s="1"/>
  <c r="CL49" i="1"/>
  <c r="CL51" i="1" s="1"/>
  <c r="CK49" i="1"/>
  <c r="CK51" i="1" s="1"/>
  <c r="CJ49" i="1"/>
  <c r="CI49" i="1"/>
  <c r="CH49" i="1"/>
  <c r="CG49" i="1"/>
  <c r="CF49" i="1"/>
  <c r="CF51" i="1" s="1"/>
  <c r="CE49" i="1"/>
  <c r="CE51" i="1" s="1"/>
  <c r="CD49" i="1"/>
  <c r="CC49" i="1"/>
  <c r="CC51" i="1" s="1"/>
  <c r="CB49" i="1"/>
  <c r="CA49" i="1"/>
  <c r="BZ49" i="1"/>
  <c r="BZ51" i="1" s="1"/>
  <c r="BY49" i="1"/>
  <c r="BX49" i="1"/>
  <c r="BX51" i="1" s="1"/>
  <c r="BW49" i="1"/>
  <c r="BW51" i="1" s="1"/>
  <c r="Z40" i="1"/>
  <c r="Y40" i="1"/>
  <c r="X40" i="1"/>
  <c r="W40" i="1"/>
  <c r="V40" i="1"/>
  <c r="U40" i="1"/>
  <c r="T40" i="1"/>
  <c r="S40" i="1"/>
  <c r="R40" i="1"/>
  <c r="Q40" i="1"/>
  <c r="P40" i="1"/>
  <c r="O40" i="1"/>
  <c r="N40" i="1"/>
  <c r="M40" i="1"/>
  <c r="L40" i="1"/>
  <c r="K40" i="1"/>
  <c r="J40" i="1"/>
  <c r="I40" i="1"/>
  <c r="H40" i="1"/>
  <c r="G40" i="1"/>
  <c r="F40" i="1"/>
  <c r="E40" i="1"/>
  <c r="D40" i="1"/>
  <c r="C40" i="1"/>
  <c r="DL31" i="1"/>
  <c r="DI31" i="1"/>
  <c r="CG31" i="1"/>
  <c r="CF31" i="1"/>
  <c r="BQ31" i="1"/>
  <c r="BQ33" i="1" s="1"/>
  <c r="AW31" i="1"/>
  <c r="AK31" i="1"/>
  <c r="AG31" i="1"/>
  <c r="EC29" i="1"/>
  <c r="DU29" i="1"/>
  <c r="DR29" i="1"/>
  <c r="DM29" i="1"/>
  <c r="DL29" i="1"/>
  <c r="DK29" i="1"/>
  <c r="DJ29" i="1"/>
  <c r="DI29" i="1"/>
  <c r="DH29" i="1"/>
  <c r="DG29" i="1"/>
  <c r="DF29" i="1"/>
  <c r="DE29" i="1"/>
  <c r="DD29" i="1"/>
  <c r="DC29" i="1"/>
  <c r="DB29" i="1"/>
  <c r="DJ31" i="1" s="1"/>
  <c r="DA29" i="1"/>
  <c r="CZ29" i="1"/>
  <c r="CY29" i="1"/>
  <c r="CX29" i="1"/>
  <c r="CW29" i="1"/>
  <c r="CV29" i="1"/>
  <c r="CU29" i="1"/>
  <c r="CT29" i="1"/>
  <c r="CS29" i="1"/>
  <c r="CR29" i="1"/>
  <c r="CQ29" i="1"/>
  <c r="CP29" i="1"/>
  <c r="CO29" i="1"/>
  <c r="CN29" i="1"/>
  <c r="CM29" i="1"/>
  <c r="CL29" i="1"/>
  <c r="CT31" i="1" s="1"/>
  <c r="CK29" i="1"/>
  <c r="CJ29" i="1"/>
  <c r="CI29" i="1"/>
  <c r="CH29" i="1"/>
  <c r="CG29" i="1"/>
  <c r="CF29" i="1"/>
  <c r="CE29" i="1"/>
  <c r="CD29" i="1"/>
  <c r="CC29" i="1"/>
  <c r="CB29" i="1"/>
  <c r="CA29" i="1"/>
  <c r="BZ29" i="1"/>
  <c r="BY29" i="1"/>
  <c r="BX29" i="1"/>
  <c r="BW29" i="1"/>
  <c r="BV29" i="1"/>
  <c r="CD31" i="1" s="1"/>
  <c r="BU29" i="1"/>
  <c r="BT29" i="1"/>
  <c r="BS29" i="1"/>
  <c r="BR29" i="1"/>
  <c r="BQ29" i="1"/>
  <c r="BP29" i="1"/>
  <c r="BO29" i="1"/>
  <c r="BN29" i="1"/>
  <c r="BM29" i="1"/>
  <c r="BL29" i="1"/>
  <c r="BK29" i="1"/>
  <c r="BJ29" i="1"/>
  <c r="BI29" i="1"/>
  <c r="BH29" i="1"/>
  <c r="BG29" i="1"/>
  <c r="BF29" i="1"/>
  <c r="BN31" i="1" s="1"/>
  <c r="BE29" i="1"/>
  <c r="BD29" i="1"/>
  <c r="BC29" i="1"/>
  <c r="BB29" i="1"/>
  <c r="BA29" i="1"/>
  <c r="AZ29" i="1"/>
  <c r="AY29" i="1"/>
  <c r="AX29" i="1"/>
  <c r="AW29" i="1"/>
  <c r="AV29" i="1"/>
  <c r="AU29" i="1"/>
  <c r="AT29" i="1"/>
  <c r="AS29" i="1"/>
  <c r="AR29" i="1"/>
  <c r="AQ29" i="1"/>
  <c r="AP29" i="1"/>
  <c r="AZ31" i="1" s="1"/>
  <c r="AO29" i="1"/>
  <c r="AN29" i="1"/>
  <c r="AM29" i="1"/>
  <c r="AL29" i="1"/>
  <c r="AK29" i="1"/>
  <c r="AJ29" i="1"/>
  <c r="AI29" i="1"/>
  <c r="AH29" i="1"/>
  <c r="AG29" i="1"/>
  <c r="AF29" i="1"/>
  <c r="AE29" i="1"/>
  <c r="AD29" i="1"/>
  <c r="AC29" i="1"/>
  <c r="AB29" i="1"/>
  <c r="AA29" i="1"/>
  <c r="Z29" i="1"/>
  <c r="AH31" i="1" s="1"/>
  <c r="Y29" i="1"/>
  <c r="X29" i="1"/>
  <c r="W29" i="1"/>
  <c r="V29" i="1"/>
  <c r="U29" i="1"/>
  <c r="T29" i="1"/>
  <c r="S29" i="1"/>
  <c r="R29" i="1"/>
  <c r="Q29" i="1"/>
  <c r="P29" i="1"/>
  <c r="O29" i="1"/>
  <c r="N29" i="1"/>
  <c r="M29" i="1"/>
  <c r="L29" i="1"/>
  <c r="K29" i="1"/>
  <c r="J29" i="1"/>
  <c r="R31" i="1" s="1"/>
  <c r="I29" i="1"/>
  <c r="H29" i="1"/>
  <c r="G29" i="1"/>
  <c r="F29" i="1"/>
  <c r="E29" i="1"/>
  <c r="D29" i="1"/>
  <c r="C29" i="1"/>
  <c r="ED28" i="1"/>
  <c r="EC28" i="1"/>
  <c r="EB28" i="1"/>
  <c r="EA28" i="1"/>
  <c r="DZ28" i="1"/>
  <c r="DY28" i="1"/>
  <c r="DX28" i="1"/>
  <c r="DW28" i="1"/>
  <c r="DV28" i="1"/>
  <c r="DU28" i="1"/>
  <c r="DT28" i="1"/>
  <c r="DS28" i="1"/>
  <c r="DR28" i="1"/>
  <c r="DQ28" i="1"/>
  <c r="DP28" i="1"/>
  <c r="DO28" i="1"/>
  <c r="DN28" i="1"/>
  <c r="DM28" i="1"/>
  <c r="ED27" i="1"/>
  <c r="ED29" i="1" s="1"/>
  <c r="EC27" i="1"/>
  <c r="EB27" i="1"/>
  <c r="EA27" i="1"/>
  <c r="DZ27" i="1"/>
  <c r="DY27" i="1"/>
  <c r="DX27" i="1"/>
  <c r="DW27" i="1"/>
  <c r="DV27" i="1"/>
  <c r="DV29" i="1" s="1"/>
  <c r="DU27" i="1"/>
  <c r="DT27" i="1"/>
  <c r="DS27" i="1"/>
  <c r="DR27" i="1"/>
  <c r="DQ27" i="1"/>
  <c r="DP27" i="1"/>
  <c r="DO27" i="1"/>
  <c r="DN27" i="1"/>
  <c r="DN29" i="1" s="1"/>
  <c r="DM27" i="1"/>
  <c r="EH26" i="1"/>
  <c r="EG26" i="1"/>
  <c r="EG27" i="1" s="1"/>
  <c r="EF26" i="1"/>
  <c r="EF27" i="1" s="1"/>
  <c r="ED26" i="1"/>
  <c r="EC26" i="1"/>
  <c r="EB26" i="1"/>
  <c r="EA26" i="1"/>
  <c r="EA29" i="1" s="1"/>
  <c r="DZ26" i="1"/>
  <c r="DZ29" i="1" s="1"/>
  <c r="DY26" i="1"/>
  <c r="DY29" i="1" s="1"/>
  <c r="DX26" i="1"/>
  <c r="DX29" i="1" s="1"/>
  <c r="DW26" i="1"/>
  <c r="DW29" i="1" s="1"/>
  <c r="DV26" i="1"/>
  <c r="DU26" i="1"/>
  <c r="DT26" i="1"/>
  <c r="DS26" i="1"/>
  <c r="DS29" i="1" s="1"/>
  <c r="DR26" i="1"/>
  <c r="DQ26" i="1"/>
  <c r="DQ29" i="1" s="1"/>
  <c r="DP26" i="1"/>
  <c r="DP29" i="1" s="1"/>
  <c r="DO26" i="1"/>
  <c r="DO29" i="1" s="1"/>
  <c r="DN26" i="1"/>
  <c r="DM26" i="1"/>
  <c r="EH25" i="1"/>
  <c r="Z24" i="1"/>
  <c r="Y24" i="1"/>
  <c r="X24" i="1"/>
  <c r="W24" i="1"/>
  <c r="V24" i="1"/>
  <c r="U24" i="1"/>
  <c r="T24" i="1"/>
  <c r="S24" i="1"/>
  <c r="R24" i="1"/>
  <c r="Q24" i="1"/>
  <c r="P24" i="1"/>
  <c r="O24" i="1"/>
  <c r="N24" i="1"/>
  <c r="M24" i="1"/>
  <c r="L24" i="1"/>
  <c r="K24" i="1"/>
  <c r="J24" i="1"/>
  <c r="I24" i="1"/>
  <c r="H24" i="1"/>
  <c r="G24" i="1"/>
  <c r="F24" i="1"/>
  <c r="E24" i="1"/>
  <c r="D24" i="1"/>
  <c r="C24" i="1"/>
  <c r="DK20" i="1"/>
  <c r="DG20" i="1"/>
  <c r="CS20" i="1"/>
  <c r="CO20" i="1"/>
  <c r="CA20" i="1"/>
  <c r="BV20" i="1"/>
  <c r="BI20" i="1"/>
  <c r="BD20" i="1"/>
  <c r="AP20" i="1"/>
  <c r="AL20" i="1"/>
  <c r="X20" i="1"/>
  <c r="S20" i="1"/>
  <c r="EA18" i="1"/>
  <c r="DV18" i="1"/>
  <c r="DS18" i="1"/>
  <c r="DR18" i="1"/>
  <c r="DL18" i="1"/>
  <c r="DK18" i="1"/>
  <c r="DJ18" i="1"/>
  <c r="DI18" i="1"/>
  <c r="DH18" i="1"/>
  <c r="DG18" i="1"/>
  <c r="DF18" i="1"/>
  <c r="DE18" i="1"/>
  <c r="DD18" i="1"/>
  <c r="DC18" i="1"/>
  <c r="DB18" i="1"/>
  <c r="DA18" i="1"/>
  <c r="CZ18" i="1"/>
  <c r="CY18" i="1"/>
  <c r="CX18" i="1"/>
  <c r="CW18" i="1"/>
  <c r="CV18" i="1"/>
  <c r="CU18" i="1"/>
  <c r="CT18" i="1"/>
  <c r="DF20" i="1" s="1"/>
  <c r="CS18" i="1"/>
  <c r="CR18" i="1"/>
  <c r="CQ18" i="1"/>
  <c r="DC20" i="1" s="1"/>
  <c r="CP18" i="1"/>
  <c r="DB20" i="1" s="1"/>
  <c r="CO18" i="1"/>
  <c r="CN18" i="1"/>
  <c r="CM18" i="1"/>
  <c r="CL18" i="1"/>
  <c r="CU20" i="1" s="1"/>
  <c r="CK18" i="1"/>
  <c r="CW20" i="1" s="1"/>
  <c r="CJ18" i="1"/>
  <c r="CI18" i="1"/>
  <c r="CH18" i="1"/>
  <c r="CG18" i="1"/>
  <c r="CF18" i="1"/>
  <c r="CE18" i="1"/>
  <c r="CD18" i="1"/>
  <c r="CP20" i="1" s="1"/>
  <c r="CC18" i="1"/>
  <c r="CB18" i="1"/>
  <c r="CA18" i="1"/>
  <c r="CM20" i="1" s="1"/>
  <c r="BZ18" i="1"/>
  <c r="CL20" i="1" s="1"/>
  <c r="BY18" i="1"/>
  <c r="BX18" i="1"/>
  <c r="BW18" i="1"/>
  <c r="BV18" i="1"/>
  <c r="CH20" i="1" s="1"/>
  <c r="BU18" i="1"/>
  <c r="BT18" i="1"/>
  <c r="BS18" i="1"/>
  <c r="BR18" i="1"/>
  <c r="BQ18" i="1"/>
  <c r="BP18" i="1"/>
  <c r="BO18" i="1"/>
  <c r="BN18" i="1"/>
  <c r="BM18" i="1"/>
  <c r="BL18" i="1"/>
  <c r="BK18" i="1"/>
  <c r="BJ18" i="1"/>
  <c r="BT20" i="1" s="1"/>
  <c r="BI18" i="1"/>
  <c r="BH18" i="1"/>
  <c r="BG18" i="1"/>
  <c r="BF18" i="1"/>
  <c r="BQ20" i="1" s="1"/>
  <c r="BE18" i="1"/>
  <c r="BD18" i="1"/>
  <c r="BC18" i="1"/>
  <c r="BO20" i="1" s="1"/>
  <c r="BB18" i="1"/>
  <c r="BM20" i="1" s="1"/>
  <c r="BA18" i="1"/>
  <c r="AZ18" i="1"/>
  <c r="AY18" i="1"/>
  <c r="AX18" i="1"/>
  <c r="BJ20" i="1" s="1"/>
  <c r="AW18" i="1"/>
  <c r="AV18" i="1"/>
  <c r="AU18" i="1"/>
  <c r="BG20" i="1" s="1"/>
  <c r="AT18" i="1"/>
  <c r="AS18" i="1"/>
  <c r="AR18" i="1"/>
  <c r="AQ18" i="1"/>
  <c r="AP18" i="1"/>
  <c r="BA20" i="1" s="1"/>
  <c r="AO18" i="1"/>
  <c r="AN18" i="1"/>
  <c r="AM18" i="1"/>
  <c r="AL18" i="1"/>
  <c r="AK18" i="1"/>
  <c r="AJ18" i="1"/>
  <c r="AI18" i="1"/>
  <c r="AU20" i="1" s="1"/>
  <c r="AH18" i="1"/>
  <c r="AT20" i="1" s="1"/>
  <c r="AG18" i="1"/>
  <c r="AF18" i="1"/>
  <c r="AE18" i="1"/>
  <c r="AQ20" i="1" s="1"/>
  <c r="AD18" i="1"/>
  <c r="AC18" i="1"/>
  <c r="AB18" i="1"/>
  <c r="AA18" i="1"/>
  <c r="Z18" i="1"/>
  <c r="Y18" i="1"/>
  <c r="AK20" i="1" s="1"/>
  <c r="X18" i="1"/>
  <c r="W18" i="1"/>
  <c r="V18" i="1"/>
  <c r="AG20" i="1" s="1"/>
  <c r="U18" i="1"/>
  <c r="T18" i="1"/>
  <c r="S18" i="1"/>
  <c r="R18" i="1"/>
  <c r="AD20" i="1" s="1"/>
  <c r="Q18" i="1"/>
  <c r="P18" i="1"/>
  <c r="O18" i="1"/>
  <c r="AA20" i="1" s="1"/>
  <c r="N18" i="1"/>
  <c r="M18" i="1"/>
  <c r="L18" i="1"/>
  <c r="K18" i="1"/>
  <c r="J18" i="1"/>
  <c r="V20" i="1" s="1"/>
  <c r="I18" i="1"/>
  <c r="H18" i="1"/>
  <c r="G18" i="1"/>
  <c r="F18" i="1"/>
  <c r="E18" i="1"/>
  <c r="D18" i="1"/>
  <c r="C18" i="1"/>
  <c r="O20" i="1" s="1"/>
  <c r="ED17" i="1"/>
  <c r="EC17" i="1"/>
  <c r="EB17" i="1"/>
  <c r="EA17" i="1"/>
  <c r="DZ17" i="1"/>
  <c r="DY17" i="1"/>
  <c r="DX17" i="1"/>
  <c r="DW17" i="1"/>
  <c r="DV17" i="1"/>
  <c r="DU17" i="1"/>
  <c r="DT17" i="1"/>
  <c r="DS17" i="1"/>
  <c r="DR17" i="1"/>
  <c r="DQ17" i="1"/>
  <c r="DP17" i="1"/>
  <c r="DO17" i="1"/>
  <c r="DN17" i="1"/>
  <c r="DM17" i="1"/>
  <c r="ED16" i="1"/>
  <c r="EC16" i="1"/>
  <c r="EB16" i="1"/>
  <c r="EA16" i="1"/>
  <c r="DZ16" i="1"/>
  <c r="DY16" i="1"/>
  <c r="DX16" i="1"/>
  <c r="DX18" i="1" s="1"/>
  <c r="DW16" i="1"/>
  <c r="DV16" i="1"/>
  <c r="DU16" i="1"/>
  <c r="DT16" i="1"/>
  <c r="DS16" i="1"/>
  <c r="DR16" i="1"/>
  <c r="DQ16" i="1"/>
  <c r="DP16" i="1"/>
  <c r="DO16" i="1"/>
  <c r="DN16" i="1"/>
  <c r="DM16" i="1"/>
  <c r="ED15" i="1"/>
  <c r="EC15" i="1"/>
  <c r="EB15" i="1"/>
  <c r="EA15" i="1"/>
  <c r="DZ15" i="1"/>
  <c r="DY15" i="1"/>
  <c r="DX15" i="1"/>
  <c r="DW15" i="1"/>
  <c r="DV15" i="1"/>
  <c r="DU15" i="1"/>
  <c r="DT15" i="1"/>
  <c r="DS15" i="1"/>
  <c r="DR15" i="1"/>
  <c r="DQ15" i="1"/>
  <c r="DP15" i="1"/>
  <c r="DO15" i="1"/>
  <c r="DN15" i="1"/>
  <c r="DN18" i="1" s="1"/>
  <c r="DM15" i="1"/>
  <c r="ED14" i="1"/>
  <c r="EC14" i="1"/>
  <c r="EC18" i="1" s="1"/>
  <c r="EB14" i="1"/>
  <c r="EB18" i="1" s="1"/>
  <c r="EA14" i="1"/>
  <c r="DZ14" i="1"/>
  <c r="DZ18" i="1" s="1"/>
  <c r="DY14" i="1"/>
  <c r="DY18" i="1" s="1"/>
  <c r="DX14" i="1"/>
  <c r="DW14" i="1"/>
  <c r="DV14" i="1"/>
  <c r="DU14" i="1"/>
  <c r="DU18" i="1" s="1"/>
  <c r="DT14" i="1"/>
  <c r="DT18" i="1" s="1"/>
  <c r="DS14" i="1"/>
  <c r="DR14" i="1"/>
  <c r="DQ14" i="1"/>
  <c r="DQ18" i="1" s="1"/>
  <c r="DP14" i="1"/>
  <c r="DP18" i="1" s="1"/>
  <c r="DO14" i="1"/>
  <c r="DN14" i="1"/>
  <c r="DM14" i="1"/>
  <c r="DM18" i="1" s="1"/>
  <c r="AB12" i="1"/>
  <c r="AB40" i="1" s="1"/>
  <c r="AA12" i="1"/>
  <c r="AZ35" i="1" l="1"/>
  <c r="AZ33" i="1"/>
  <c r="DP20" i="1"/>
  <c r="ED20" i="1"/>
  <c r="DL35" i="1"/>
  <c r="DL33" i="1"/>
  <c r="EB92" i="1"/>
  <c r="AC12" i="1"/>
  <c r="T20" i="1"/>
  <c r="AB20" i="1"/>
  <c r="AJ20" i="1"/>
  <c r="AR20" i="1"/>
  <c r="AZ20" i="1"/>
  <c r="BH20" i="1"/>
  <c r="BP20" i="1"/>
  <c r="BX20" i="1"/>
  <c r="CF20" i="1"/>
  <c r="CF33" i="1" s="1"/>
  <c r="CN20" i="1"/>
  <c r="CV20" i="1"/>
  <c r="DD20" i="1"/>
  <c r="DL20" i="1"/>
  <c r="U20" i="1"/>
  <c r="AM20" i="1"/>
  <c r="BE20" i="1"/>
  <c r="BW20" i="1"/>
  <c r="DH20" i="1"/>
  <c r="Y31" i="1"/>
  <c r="AO31" i="1"/>
  <c r="BE31" i="1"/>
  <c r="BU31" i="1"/>
  <c r="CK31" i="1"/>
  <c r="DA31" i="1"/>
  <c r="DQ31" i="1"/>
  <c r="AJ31" i="1"/>
  <c r="CC31" i="1"/>
  <c r="DM31" i="1"/>
  <c r="AG35" i="1"/>
  <c r="AG33" i="1"/>
  <c r="AK33" i="1"/>
  <c r="AK35" i="1"/>
  <c r="CF35" i="1"/>
  <c r="CO68" i="1"/>
  <c r="CW64" i="1"/>
  <c r="DE64" i="1"/>
  <c r="DM64" i="1"/>
  <c r="DU64" i="1"/>
  <c r="EC64" i="1"/>
  <c r="AW35" i="1"/>
  <c r="DF68" i="1"/>
  <c r="DV68" i="1"/>
  <c r="CL64" i="1"/>
  <c r="CT64" i="1"/>
  <c r="DB64" i="1"/>
  <c r="CP64" i="1"/>
  <c r="DN68" i="1"/>
  <c r="ED68" i="1"/>
  <c r="W20" i="1"/>
  <c r="AE20" i="1"/>
  <c r="BC20" i="1"/>
  <c r="BS20" i="1"/>
  <c r="CI20" i="1"/>
  <c r="CQ20" i="1"/>
  <c r="DO20" i="1"/>
  <c r="AC20" i="1"/>
  <c r="CE20" i="1"/>
  <c r="CX20" i="1"/>
  <c r="CS31" i="1"/>
  <c r="CG35" i="1"/>
  <c r="AC31" i="1"/>
  <c r="AB31" i="1"/>
  <c r="Z31" i="1"/>
  <c r="BI31" i="1"/>
  <c r="BH31" i="1"/>
  <c r="BF31" i="1"/>
  <c r="BZ20" i="1"/>
  <c r="BY20" i="1"/>
  <c r="DM20" i="1"/>
  <c r="Z20" i="1"/>
  <c r="AS20" i="1"/>
  <c r="BK20" i="1"/>
  <c r="CC20" i="1"/>
  <c r="DN20" i="1"/>
  <c r="CX68" i="1"/>
  <c r="ED18" i="1"/>
  <c r="P20" i="1"/>
  <c r="AF20" i="1"/>
  <c r="AN20" i="1"/>
  <c r="BL20" i="1"/>
  <c r="CB20" i="1"/>
  <c r="CR20" i="1"/>
  <c r="CZ20" i="1"/>
  <c r="AV20" i="1"/>
  <c r="BN20" i="1"/>
  <c r="BN33" i="1" s="1"/>
  <c r="CG20" i="1"/>
  <c r="CG33" i="1" s="1"/>
  <c r="CY20" i="1"/>
  <c r="R35" i="1"/>
  <c r="AH35" i="1"/>
  <c r="AH33" i="1"/>
  <c r="AS31" i="1"/>
  <c r="AR31" i="1"/>
  <c r="AP31" i="1"/>
  <c r="AX31" i="1"/>
  <c r="BN35" i="1"/>
  <c r="BY31" i="1"/>
  <c r="BX31" i="1"/>
  <c r="BV31" i="1"/>
  <c r="CD35" i="1"/>
  <c r="CO31" i="1"/>
  <c r="CN31" i="1"/>
  <c r="CL31" i="1"/>
  <c r="CT35" i="1"/>
  <c r="DE31" i="1"/>
  <c r="DD31" i="1"/>
  <c r="DB31" i="1"/>
  <c r="DJ35" i="1"/>
  <c r="DR31" i="1"/>
  <c r="Q31" i="1"/>
  <c r="BA31" i="1"/>
  <c r="CV31" i="1"/>
  <c r="DO18" i="1"/>
  <c r="EA20" i="1" s="1"/>
  <c r="DW18" i="1"/>
  <c r="EB20" i="1" s="1"/>
  <c r="Y20" i="1"/>
  <c r="AO20" i="1"/>
  <c r="AW20" i="1"/>
  <c r="AW33" i="1" s="1"/>
  <c r="BU20" i="1"/>
  <c r="CK20" i="1"/>
  <c r="DA20" i="1"/>
  <c r="DI20" i="1"/>
  <c r="AY20" i="1"/>
  <c r="BR20" i="1"/>
  <c r="CJ20" i="1"/>
  <c r="T31" i="1"/>
  <c r="BM31" i="1"/>
  <c r="CW31" i="1"/>
  <c r="BQ35" i="1"/>
  <c r="EC20" i="1"/>
  <c r="DV20" i="1"/>
  <c r="AB24" i="1"/>
  <c r="AA40" i="1"/>
  <c r="AA24" i="1"/>
  <c r="R20" i="1"/>
  <c r="R33" i="1" s="1"/>
  <c r="AH20" i="1"/>
  <c r="AX20" i="1"/>
  <c r="BF20" i="1"/>
  <c r="CD20" i="1"/>
  <c r="CD33" i="1" s="1"/>
  <c r="CT20" i="1"/>
  <c r="CT33" i="1" s="1"/>
  <c r="DJ20" i="1"/>
  <c r="DJ33" i="1" s="1"/>
  <c r="DR20" i="1"/>
  <c r="Q20" i="1"/>
  <c r="AI20" i="1"/>
  <c r="BB20" i="1"/>
  <c r="DE20" i="1"/>
  <c r="U31" i="1"/>
  <c r="BP31" i="1"/>
  <c r="DI35" i="1"/>
  <c r="DI33" i="1"/>
  <c r="DJ64" i="1"/>
  <c r="DR64" i="1"/>
  <c r="DZ64" i="1"/>
  <c r="N31" i="1"/>
  <c r="V31" i="1"/>
  <c r="AD31" i="1"/>
  <c r="AL31" i="1"/>
  <c r="AT31" i="1"/>
  <c r="BB31" i="1"/>
  <c r="BJ31" i="1"/>
  <c r="BR31" i="1"/>
  <c r="BZ31" i="1"/>
  <c r="CH31" i="1"/>
  <c r="CP31" i="1"/>
  <c r="CX31" i="1"/>
  <c r="DF31" i="1"/>
  <c r="DN31" i="1"/>
  <c r="BY51" i="1"/>
  <c r="CJ53" i="1" s="1"/>
  <c r="CG51" i="1"/>
  <c r="CO53" i="1" s="1"/>
  <c r="CO66" i="1" s="1"/>
  <c r="DE51" i="1"/>
  <c r="DM51" i="1"/>
  <c r="DU51" i="1"/>
  <c r="O31" i="1"/>
  <c r="W31" i="1"/>
  <c r="AE31" i="1"/>
  <c r="AM31" i="1"/>
  <c r="AU31" i="1"/>
  <c r="BC31" i="1"/>
  <c r="BK31" i="1"/>
  <c r="BS31" i="1"/>
  <c r="CA31" i="1"/>
  <c r="CI31" i="1"/>
  <c r="CQ31" i="1"/>
  <c r="CY31" i="1"/>
  <c r="DG31" i="1"/>
  <c r="DO31" i="1"/>
  <c r="DW31" i="1"/>
  <c r="P31" i="1"/>
  <c r="X31" i="1"/>
  <c r="AF31" i="1"/>
  <c r="AN31" i="1"/>
  <c r="AV31" i="1"/>
  <c r="BD31" i="1"/>
  <c r="BL31" i="1"/>
  <c r="BT31" i="1"/>
  <c r="CB31" i="1"/>
  <c r="CJ31" i="1"/>
  <c r="CR31" i="1"/>
  <c r="CZ31" i="1"/>
  <c r="DH31" i="1"/>
  <c r="DP31" i="1"/>
  <c r="CK64" i="1"/>
  <c r="CS64" i="1"/>
  <c r="DA64" i="1"/>
  <c r="CB51" i="1"/>
  <c r="CJ51" i="1"/>
  <c r="CV53" i="1" s="1"/>
  <c r="CR51" i="1"/>
  <c r="CZ51" i="1"/>
  <c r="DH51" i="1"/>
  <c r="EH27" i="1"/>
  <c r="DT29" i="1"/>
  <c r="DV31" i="1" s="1"/>
  <c r="EB29" i="1"/>
  <c r="S31" i="1"/>
  <c r="AA31" i="1"/>
  <c r="AI31" i="1"/>
  <c r="AQ31" i="1"/>
  <c r="AY31" i="1"/>
  <c r="BG31" i="1"/>
  <c r="BO31" i="1"/>
  <c r="BW31" i="1"/>
  <c r="CE31" i="1"/>
  <c r="CM31" i="1"/>
  <c r="CU31" i="1"/>
  <c r="DC31" i="1"/>
  <c r="DK31" i="1"/>
  <c r="DS31" i="1"/>
  <c r="CX53" i="1"/>
  <c r="CX66" i="1" s="1"/>
  <c r="DN53" i="1"/>
  <c r="DN66" i="1" s="1"/>
  <c r="CI64" i="1"/>
  <c r="CQ64" i="1"/>
  <c r="CY64" i="1"/>
  <c r="DG64" i="1"/>
  <c r="DO64" i="1"/>
  <c r="DW64" i="1"/>
  <c r="CJ64" i="1"/>
  <c r="CR64" i="1"/>
  <c r="CZ64" i="1"/>
  <c r="DH64" i="1"/>
  <c r="DP64" i="1"/>
  <c r="DX64" i="1"/>
  <c r="DI64" i="1"/>
  <c r="DQ64" i="1"/>
  <c r="DY64" i="1"/>
  <c r="EC51" i="1"/>
  <c r="CA51" i="1"/>
  <c r="CI51" i="1"/>
  <c r="CQ51" i="1"/>
  <c r="CY51" i="1"/>
  <c r="DE53" i="1" s="1"/>
  <c r="DG51" i="1"/>
  <c r="CN64" i="1"/>
  <c r="CV64" i="1"/>
  <c r="DD64" i="1"/>
  <c r="DL64" i="1"/>
  <c r="DT64" i="1"/>
  <c r="EB64" i="1"/>
  <c r="CO79" i="1"/>
  <c r="CM79" i="1"/>
  <c r="CW79" i="1"/>
  <c r="CW90" i="1" s="1"/>
  <c r="CU79" i="1"/>
  <c r="CU90" i="1" s="1"/>
  <c r="DE79" i="1"/>
  <c r="DC79" i="1"/>
  <c r="DC90" i="1" s="1"/>
  <c r="DM79" i="1"/>
  <c r="DK79" i="1"/>
  <c r="CK79" i="1"/>
  <c r="DQ79" i="1"/>
  <c r="EC88" i="1"/>
  <c r="DN79" i="1"/>
  <c r="ED88" i="1"/>
  <c r="CL92" i="1"/>
  <c r="CT92" i="1"/>
  <c r="DB92" i="1"/>
  <c r="DJ92" i="1"/>
  <c r="DJ90" i="1"/>
  <c r="DR88" i="1"/>
  <c r="CI79" i="1"/>
  <c r="CQ79" i="1"/>
  <c r="CY79" i="1"/>
  <c r="CS79" i="1"/>
  <c r="CM92" i="1"/>
  <c r="CM90" i="1"/>
  <c r="CU92" i="1"/>
  <c r="DC92" i="1"/>
  <c r="DK92" i="1"/>
  <c r="DK90" i="1"/>
  <c r="DS88" i="1"/>
  <c r="DP51" i="1"/>
  <c r="EA53" i="1" s="1"/>
  <c r="DX51" i="1"/>
  <c r="ED53" i="1" s="1"/>
  <c r="ED66" i="1" s="1"/>
  <c r="CM64" i="1"/>
  <c r="CU64" i="1"/>
  <c r="DC64" i="1"/>
  <c r="DK64" i="1"/>
  <c r="DS64" i="1"/>
  <c r="EA64" i="1"/>
  <c r="CV79" i="1"/>
  <c r="DX88" i="1"/>
  <c r="DW88" i="1"/>
  <c r="CN92" i="1"/>
  <c r="CN90" i="1"/>
  <c r="CV92" i="1"/>
  <c r="CV90" i="1"/>
  <c r="DD92" i="1"/>
  <c r="DL92" i="1"/>
  <c r="DL90" i="1"/>
  <c r="DT88" i="1"/>
  <c r="DY88" i="1"/>
  <c r="CO92" i="1"/>
  <c r="CO90" i="1"/>
  <c r="CW92" i="1"/>
  <c r="DE92" i="1"/>
  <c r="DE90" i="1"/>
  <c r="DM88" i="1"/>
  <c r="DU88" i="1"/>
  <c r="CL79" i="1"/>
  <c r="CL90" i="1" s="1"/>
  <c r="CT79" i="1"/>
  <c r="CT90" i="1" s="1"/>
  <c r="DB79" i="1"/>
  <c r="DB90" i="1" s="1"/>
  <c r="DJ79" i="1"/>
  <c r="DD79" i="1"/>
  <c r="DD90" i="1" s="1"/>
  <c r="DZ88" i="1"/>
  <c r="CP92" i="1"/>
  <c r="CP90" i="1"/>
  <c r="CX92" i="1"/>
  <c r="CX90" i="1"/>
  <c r="DF92" i="1"/>
  <c r="DF90" i="1"/>
  <c r="DN88" i="1"/>
  <c r="DV88" i="1"/>
  <c r="DO77" i="1"/>
  <c r="DV79" i="1" s="1"/>
  <c r="DW77" i="1"/>
  <c r="EB79" i="1" s="1"/>
  <c r="EB90" i="1" s="1"/>
  <c r="DI79" i="1"/>
  <c r="EA88" i="1"/>
  <c r="CI88" i="1"/>
  <c r="CQ88" i="1"/>
  <c r="CY88" i="1"/>
  <c r="DG88" i="1"/>
  <c r="DO88" i="1"/>
  <c r="CJ88" i="1"/>
  <c r="CR88" i="1"/>
  <c r="CZ88" i="1"/>
  <c r="DH88" i="1"/>
  <c r="DP88" i="1"/>
  <c r="CK88" i="1"/>
  <c r="CS88" i="1"/>
  <c r="DA88" i="1"/>
  <c r="DI88" i="1"/>
  <c r="DQ88" i="1"/>
  <c r="DV35" i="1" l="1"/>
  <c r="DV33" i="1"/>
  <c r="AN33" i="1"/>
  <c r="AN35" i="1"/>
  <c r="DJ68" i="1"/>
  <c r="BV33" i="1"/>
  <c r="BV35" i="1"/>
  <c r="BO35" i="1"/>
  <c r="BO33" i="1"/>
  <c r="DV53" i="1"/>
  <c r="DV66" i="1" s="1"/>
  <c r="DU53" i="1"/>
  <c r="DM68" i="1"/>
  <c r="DA35" i="1"/>
  <c r="DA33" i="1"/>
  <c r="DV92" i="1"/>
  <c r="DV90" i="1"/>
  <c r="DY92" i="1"/>
  <c r="EA68" i="1"/>
  <c r="EA66" i="1"/>
  <c r="DS92" i="1"/>
  <c r="DS90" i="1"/>
  <c r="ED92" i="1"/>
  <c r="DS79" i="1"/>
  <c r="DS53" i="1"/>
  <c r="DR53" i="1"/>
  <c r="DQ68" i="1"/>
  <c r="DQ66" i="1"/>
  <c r="DW66" i="1"/>
  <c r="DW68" i="1"/>
  <c r="DS35" i="1"/>
  <c r="BG35" i="1"/>
  <c r="BG33" i="1"/>
  <c r="DA68" i="1"/>
  <c r="DA66" i="1"/>
  <c r="CJ35" i="1"/>
  <c r="CJ33" i="1"/>
  <c r="X33" i="1"/>
  <c r="X35" i="1"/>
  <c r="DG33" i="1"/>
  <c r="DG35" i="1"/>
  <c r="AU33" i="1"/>
  <c r="AU35" i="1"/>
  <c r="CX33" i="1"/>
  <c r="CX35" i="1"/>
  <c r="AL33" i="1"/>
  <c r="AL35" i="1"/>
  <c r="DO53" i="1"/>
  <c r="U35" i="1"/>
  <c r="U33" i="1"/>
  <c r="T35" i="1"/>
  <c r="T33" i="1"/>
  <c r="Q35" i="1"/>
  <c r="Q33" i="1"/>
  <c r="DE33" i="1"/>
  <c r="DE35" i="1"/>
  <c r="BY33" i="1"/>
  <c r="BY35" i="1"/>
  <c r="DX20" i="1"/>
  <c r="DE68" i="1"/>
  <c r="DE66" i="1"/>
  <c r="CK33" i="1"/>
  <c r="CK35" i="1"/>
  <c r="AC40" i="1"/>
  <c r="AC24" i="1"/>
  <c r="AD12" i="1"/>
  <c r="DY31" i="1"/>
  <c r="EC31" i="1"/>
  <c r="DI92" i="1"/>
  <c r="DI90" i="1"/>
  <c r="CV68" i="1"/>
  <c r="CV66" i="1"/>
  <c r="CZ35" i="1"/>
  <c r="CZ33" i="1"/>
  <c r="CV35" i="1"/>
  <c r="CV33" i="1"/>
  <c r="DQ35" i="1"/>
  <c r="CN53" i="1"/>
  <c r="DF35" i="1"/>
  <c r="DF33" i="1"/>
  <c r="BM33" i="1"/>
  <c r="BM35" i="1"/>
  <c r="DG92" i="1"/>
  <c r="DG90" i="1"/>
  <c r="CK92" i="1"/>
  <c r="CK90" i="1"/>
  <c r="DS68" i="1"/>
  <c r="DS66" i="1"/>
  <c r="DT79" i="1"/>
  <c r="DU79" i="1"/>
  <c r="DU90" i="1" s="1"/>
  <c r="DK53" i="1"/>
  <c r="DK66" i="1" s="1"/>
  <c r="DJ53" i="1"/>
  <c r="DJ66" i="1" s="1"/>
  <c r="DI68" i="1"/>
  <c r="DO66" i="1"/>
  <c r="DO68" i="1"/>
  <c r="DK35" i="1"/>
  <c r="DK33" i="1"/>
  <c r="AY35" i="1"/>
  <c r="AY33" i="1"/>
  <c r="DI53" i="1"/>
  <c r="DI66" i="1" s="1"/>
  <c r="CS68" i="1"/>
  <c r="CB33" i="1"/>
  <c r="CB35" i="1"/>
  <c r="P33" i="1"/>
  <c r="P35" i="1"/>
  <c r="CY35" i="1"/>
  <c r="CY33" i="1"/>
  <c r="AM33" i="1"/>
  <c r="AM35" i="1"/>
  <c r="DY53" i="1"/>
  <c r="CP35" i="1"/>
  <c r="CP33" i="1"/>
  <c r="AD35" i="1"/>
  <c r="AD33" i="1"/>
  <c r="DG53" i="1"/>
  <c r="DZ31" i="1"/>
  <c r="DR33" i="1"/>
  <c r="DR35" i="1"/>
  <c r="CW68" i="1"/>
  <c r="CW66" i="1"/>
  <c r="BU35" i="1"/>
  <c r="BU33" i="1"/>
  <c r="EB31" i="1"/>
  <c r="DU20" i="1"/>
  <c r="CJ92" i="1"/>
  <c r="CJ90" i="1"/>
  <c r="DX79" i="1"/>
  <c r="DW35" i="1"/>
  <c r="DW33" i="1"/>
  <c r="BB33" i="1"/>
  <c r="BB35" i="1"/>
  <c r="AB35" i="1"/>
  <c r="AB33" i="1"/>
  <c r="DR92" i="1"/>
  <c r="CN68" i="1"/>
  <c r="CN66" i="1"/>
  <c r="BC33" i="1"/>
  <c r="BC35" i="1"/>
  <c r="BP35" i="1"/>
  <c r="BP33" i="1"/>
  <c r="BA35" i="1"/>
  <c r="BA33" i="1"/>
  <c r="DZ92" i="1"/>
  <c r="DZ90" i="1"/>
  <c r="DN92" i="1"/>
  <c r="DN90" i="1"/>
  <c r="EC79" i="1"/>
  <c r="DP92" i="1"/>
  <c r="DP90" i="1"/>
  <c r="CQ92" i="1"/>
  <c r="CQ90" i="1"/>
  <c r="DR79" i="1"/>
  <c r="DR90" i="1" s="1"/>
  <c r="DT92" i="1"/>
  <c r="DT90" i="1"/>
  <c r="DK68" i="1"/>
  <c r="DW79" i="1"/>
  <c r="DW90" i="1" s="1"/>
  <c r="EB68" i="1"/>
  <c r="EB66" i="1"/>
  <c r="DC53" i="1"/>
  <c r="DC66" i="1" s="1"/>
  <c r="DX68" i="1"/>
  <c r="DG68" i="1"/>
  <c r="DG66" i="1"/>
  <c r="DC35" i="1"/>
  <c r="DC33" i="1"/>
  <c r="AQ35" i="1"/>
  <c r="AQ33" i="1"/>
  <c r="CK68" i="1"/>
  <c r="BT35" i="1"/>
  <c r="BT33" i="1"/>
  <c r="DW53" i="1"/>
  <c r="CQ35" i="1"/>
  <c r="CQ33" i="1"/>
  <c r="AE35" i="1"/>
  <c r="AE33" i="1"/>
  <c r="DQ53" i="1"/>
  <c r="CH33" i="1"/>
  <c r="CH35" i="1"/>
  <c r="V33" i="1"/>
  <c r="V35" i="1"/>
  <c r="CY53" i="1"/>
  <c r="CY66" i="1" s="1"/>
  <c r="DX53" i="1"/>
  <c r="DX66" i="1" s="1"/>
  <c r="DT31" i="1"/>
  <c r="CL33" i="1"/>
  <c r="CL35" i="1"/>
  <c r="BF33" i="1"/>
  <c r="BF35" i="1"/>
  <c r="CZ53" i="1"/>
  <c r="CP68" i="1"/>
  <c r="CP66" i="1"/>
  <c r="BE33" i="1"/>
  <c r="BE35" i="1"/>
  <c r="DT20" i="1"/>
  <c r="BW35" i="1"/>
  <c r="BW33" i="1"/>
  <c r="BK35" i="1"/>
  <c r="BK33" i="1"/>
  <c r="DB33" i="1"/>
  <c r="DB35" i="1"/>
  <c r="EA79" i="1"/>
  <c r="DP79" i="1"/>
  <c r="DO33" i="1"/>
  <c r="DO35" i="1"/>
  <c r="BX35" i="1"/>
  <c r="BX33" i="1"/>
  <c r="DU92" i="1"/>
  <c r="CY92" i="1"/>
  <c r="CY90" i="1"/>
  <c r="DM92" i="1"/>
  <c r="DM90" i="1"/>
  <c r="DH92" i="1"/>
  <c r="DH90" i="1"/>
  <c r="CI92" i="1"/>
  <c r="CI90" i="1"/>
  <c r="DW92" i="1"/>
  <c r="DC68" i="1"/>
  <c r="DO79" i="1"/>
  <c r="DT68" i="1"/>
  <c r="DT66" i="1"/>
  <c r="CU53" i="1"/>
  <c r="DP68" i="1"/>
  <c r="CY68" i="1"/>
  <c r="CU35" i="1"/>
  <c r="CU33" i="1"/>
  <c r="AI35" i="1"/>
  <c r="AI33" i="1"/>
  <c r="DT53" i="1"/>
  <c r="DX31" i="1"/>
  <c r="BL35" i="1"/>
  <c r="BL33" i="1"/>
  <c r="CT53" i="1"/>
  <c r="CI33" i="1"/>
  <c r="CI35" i="1"/>
  <c r="W33" i="1"/>
  <c r="W35" i="1"/>
  <c r="CS53" i="1"/>
  <c r="CS66" i="1" s="1"/>
  <c r="BZ35" i="1"/>
  <c r="BZ33" i="1"/>
  <c r="CQ53" i="1"/>
  <c r="DS20" i="1"/>
  <c r="DS33" i="1" s="1"/>
  <c r="DU31" i="1"/>
  <c r="CN35" i="1"/>
  <c r="CN33" i="1"/>
  <c r="AX35" i="1"/>
  <c r="AX33" i="1"/>
  <c r="DQ20" i="1"/>
  <c r="DQ33" i="1" s="1"/>
  <c r="ED31" i="1"/>
  <c r="BH35" i="1"/>
  <c r="BH33" i="1"/>
  <c r="CS33" i="1"/>
  <c r="CS35" i="1"/>
  <c r="DB68" i="1"/>
  <c r="DM35" i="1"/>
  <c r="DM33" i="1"/>
  <c r="AO35" i="1"/>
  <c r="AO33" i="1"/>
  <c r="CP53" i="1"/>
  <c r="DZ20" i="1"/>
  <c r="DN33" i="1"/>
  <c r="DN35" i="1"/>
  <c r="CW33" i="1"/>
  <c r="CW35" i="1"/>
  <c r="DA92" i="1"/>
  <c r="DA90" i="1"/>
  <c r="DZ79" i="1"/>
  <c r="EB53" i="1"/>
  <c r="DZ53" i="1"/>
  <c r="DY68" i="1"/>
  <c r="DY66" i="1"/>
  <c r="CR33" i="1"/>
  <c r="CR35" i="1"/>
  <c r="AT35" i="1"/>
  <c r="AT33" i="1"/>
  <c r="CS92" i="1"/>
  <c r="CS90" i="1"/>
  <c r="CZ92" i="1"/>
  <c r="CZ90" i="1"/>
  <c r="EA92" i="1"/>
  <c r="EA90" i="1"/>
  <c r="DX92" i="1"/>
  <c r="DX90" i="1"/>
  <c r="CU68" i="1"/>
  <c r="CU66" i="1"/>
  <c r="ED79" i="1"/>
  <c r="ED90" i="1" s="1"/>
  <c r="DL68" i="1"/>
  <c r="CM53" i="1"/>
  <c r="DH68" i="1"/>
  <c r="CQ66" i="1"/>
  <c r="CQ68" i="1"/>
  <c r="CM35" i="1"/>
  <c r="CM33" i="1"/>
  <c r="AA35" i="1"/>
  <c r="AA33" i="1"/>
  <c r="DL53" i="1"/>
  <c r="DL66" i="1" s="1"/>
  <c r="DP35" i="1"/>
  <c r="DP33" i="1"/>
  <c r="BD33" i="1"/>
  <c r="BD35" i="1"/>
  <c r="DB53" i="1"/>
  <c r="DB66" i="1" s="1"/>
  <c r="CA33" i="1"/>
  <c r="CA35" i="1"/>
  <c r="O33" i="1"/>
  <c r="O35" i="1"/>
  <c r="CK53" i="1"/>
  <c r="CK66" i="1" s="1"/>
  <c r="BR33" i="1"/>
  <c r="BR35" i="1"/>
  <c r="DZ68" i="1"/>
  <c r="DZ66" i="1"/>
  <c r="CI53" i="1"/>
  <c r="CO35" i="1"/>
  <c r="CO33" i="1"/>
  <c r="AP33" i="1"/>
  <c r="AP35" i="1"/>
  <c r="CR53" i="1"/>
  <c r="BI35" i="1"/>
  <c r="BI33" i="1"/>
  <c r="CT68" i="1"/>
  <c r="CT66" i="1"/>
  <c r="DH53" i="1"/>
  <c r="DH66" i="1" s="1"/>
  <c r="DF53" i="1"/>
  <c r="DF66" i="1" s="1"/>
  <c r="CC35" i="1"/>
  <c r="CC33" i="1"/>
  <c r="Y33" i="1"/>
  <c r="Y35" i="1"/>
  <c r="DM53" i="1"/>
  <c r="DM66" i="1" s="1"/>
  <c r="DY20" i="1"/>
  <c r="CR68" i="1"/>
  <c r="CR66" i="1"/>
  <c r="AS35" i="1"/>
  <c r="AS33" i="1"/>
  <c r="EC53" i="1"/>
  <c r="EC66" i="1" s="1"/>
  <c r="DU68" i="1"/>
  <c r="DU66" i="1"/>
  <c r="DO92" i="1"/>
  <c r="DO90" i="1"/>
  <c r="CJ68" i="1"/>
  <c r="CJ66" i="1"/>
  <c r="AF33" i="1"/>
  <c r="AF35" i="1"/>
  <c r="DD35" i="1"/>
  <c r="DD33" i="1"/>
  <c r="AC35" i="1"/>
  <c r="AC33" i="1"/>
  <c r="DQ92" i="1"/>
  <c r="DQ90" i="1"/>
  <c r="CR92" i="1"/>
  <c r="CR90" i="1"/>
  <c r="CM68" i="1"/>
  <c r="CM66" i="1"/>
  <c r="EC92" i="1"/>
  <c r="EC90" i="1"/>
  <c r="DD68" i="1"/>
  <c r="DY79" i="1"/>
  <c r="DY90" i="1" s="1"/>
  <c r="CZ68" i="1"/>
  <c r="CZ66" i="1"/>
  <c r="CI66" i="1"/>
  <c r="CI68" i="1"/>
  <c r="CE35" i="1"/>
  <c r="CE33" i="1"/>
  <c r="S35" i="1"/>
  <c r="S33" i="1"/>
  <c r="DD53" i="1"/>
  <c r="DD66" i="1" s="1"/>
  <c r="DH33" i="1"/>
  <c r="DH35" i="1"/>
  <c r="AV33" i="1"/>
  <c r="AV35" i="1"/>
  <c r="CL53" i="1"/>
  <c r="BS35" i="1"/>
  <c r="BS33" i="1"/>
  <c r="EA31" i="1"/>
  <c r="BJ35" i="1"/>
  <c r="BJ33" i="1"/>
  <c r="DR66" i="1"/>
  <c r="DR68" i="1"/>
  <c r="CW53" i="1"/>
  <c r="AR35" i="1"/>
  <c r="AR33" i="1"/>
  <c r="DA53" i="1"/>
  <c r="Z33" i="1"/>
  <c r="Z35" i="1"/>
  <c r="CL66" i="1"/>
  <c r="CL68" i="1"/>
  <c r="EC68" i="1"/>
  <c r="AJ35" i="1"/>
  <c r="AJ33" i="1"/>
  <c r="DP53" i="1"/>
  <c r="DP66" i="1" s="1"/>
  <c r="DW20" i="1"/>
  <c r="ED33" i="1" l="1"/>
  <c r="ED35" i="1"/>
  <c r="AD40" i="1"/>
  <c r="AE12" i="1"/>
  <c r="AD24" i="1"/>
  <c r="EC33" i="1"/>
  <c r="EC35" i="1"/>
  <c r="DY33" i="1"/>
  <c r="DY35" i="1"/>
  <c r="DU35" i="1"/>
  <c r="DU33" i="1"/>
  <c r="EA35" i="1"/>
  <c r="EA33" i="1"/>
  <c r="DX33" i="1"/>
  <c r="DX35" i="1"/>
  <c r="DZ35" i="1"/>
  <c r="DZ33" i="1"/>
  <c r="EB35" i="1"/>
  <c r="EB33" i="1"/>
  <c r="DT35" i="1"/>
  <c r="DT33" i="1"/>
  <c r="AE40" i="1" l="1"/>
  <c r="AE24" i="1"/>
  <c r="AF12" i="1"/>
  <c r="AF40" i="1" l="1"/>
  <c r="AF24" i="1"/>
  <c r="AG12" i="1"/>
  <c r="AG24" i="1" l="1"/>
  <c r="AG40" i="1"/>
  <c r="AH12" i="1"/>
  <c r="AH40" i="1" l="1"/>
  <c r="AH24" i="1"/>
  <c r="AI12" i="1"/>
  <c r="AI40" i="1" l="1"/>
  <c r="AI24" i="1"/>
  <c r="AJ12" i="1"/>
  <c r="AJ40" i="1" l="1"/>
  <c r="AJ24" i="1"/>
  <c r="AK12" i="1"/>
  <c r="AK40" i="1" l="1"/>
  <c r="AK24" i="1"/>
  <c r="AL12" i="1"/>
  <c r="AL40" i="1" l="1"/>
  <c r="AL24" i="1"/>
  <c r="AM12" i="1"/>
  <c r="AM40" i="1" l="1"/>
  <c r="AM24" i="1"/>
  <c r="AN12" i="1"/>
  <c r="AN40" i="1" l="1"/>
  <c r="AN24" i="1"/>
  <c r="AO12" i="1"/>
  <c r="AO40" i="1" l="1"/>
  <c r="AO24" i="1"/>
  <c r="AP12" i="1"/>
  <c r="AQ12" i="1" l="1"/>
  <c r="AP24" i="1"/>
  <c r="AP40" i="1"/>
  <c r="AQ40" i="1" l="1"/>
  <c r="AR12" i="1"/>
  <c r="AQ24" i="1"/>
  <c r="AR40" i="1" l="1"/>
  <c r="AR24" i="1"/>
  <c r="AS12" i="1"/>
  <c r="AS24" i="1" l="1"/>
  <c r="AT12" i="1"/>
  <c r="AS40" i="1"/>
  <c r="AU12" i="1" l="1"/>
  <c r="AT40" i="1"/>
  <c r="AT24" i="1"/>
  <c r="AU40" i="1" l="1"/>
  <c r="AU24" i="1"/>
  <c r="AV12" i="1"/>
  <c r="AV40" i="1" l="1"/>
  <c r="AV24" i="1"/>
  <c r="AW12" i="1"/>
  <c r="AW24" i="1" l="1"/>
  <c r="AW40" i="1"/>
  <c r="AX12" i="1"/>
  <c r="AX40" i="1" l="1"/>
  <c r="AY12" i="1"/>
  <c r="AX24" i="1"/>
  <c r="AY40" i="1" l="1"/>
  <c r="AY24" i="1"/>
  <c r="AZ12" i="1"/>
  <c r="AZ40" i="1" l="1"/>
  <c r="AZ24" i="1"/>
  <c r="BA12" i="1"/>
  <c r="BA40" i="1" l="1"/>
  <c r="BA24" i="1"/>
  <c r="BB12" i="1"/>
  <c r="BB40" i="1" l="1"/>
  <c r="BB24" i="1"/>
  <c r="BC12" i="1"/>
  <c r="BC40" i="1" l="1"/>
  <c r="BC24" i="1"/>
  <c r="BD12" i="1"/>
  <c r="BD40" i="1" l="1"/>
  <c r="BD24" i="1"/>
  <c r="BE12" i="1"/>
  <c r="BE24" i="1" l="1"/>
  <c r="BE40" i="1"/>
  <c r="BF12" i="1"/>
  <c r="BF40" i="1" l="1"/>
  <c r="BG12" i="1"/>
  <c r="BF24" i="1"/>
  <c r="BG40" i="1" l="1"/>
  <c r="BG24" i="1"/>
  <c r="BH12" i="1"/>
  <c r="BH40" i="1" l="1"/>
  <c r="BH24" i="1"/>
  <c r="BI12" i="1"/>
  <c r="BI40" i="1" l="1"/>
  <c r="BI24" i="1"/>
  <c r="BJ12" i="1"/>
  <c r="BJ24" i="1" l="1"/>
  <c r="BK12" i="1"/>
  <c r="BJ40" i="1"/>
  <c r="BK40" i="1" l="1"/>
  <c r="BL12" i="1"/>
  <c r="BK24" i="1"/>
  <c r="BL40" i="1" l="1"/>
  <c r="BL24" i="1"/>
  <c r="BM12" i="1"/>
  <c r="BM24" i="1" l="1"/>
  <c r="BM40" i="1"/>
  <c r="BN12" i="1"/>
  <c r="BN40" i="1" l="1"/>
  <c r="BN24" i="1"/>
  <c r="BO12" i="1"/>
  <c r="BO24" i="1" l="1"/>
  <c r="BO40" i="1"/>
  <c r="BP12" i="1"/>
  <c r="BP40" i="1" l="1"/>
  <c r="BP24" i="1"/>
  <c r="BQ12" i="1"/>
  <c r="BQ40" i="1" l="1"/>
  <c r="BQ24" i="1"/>
  <c r="BR12" i="1"/>
  <c r="BR40" i="1" l="1"/>
  <c r="BR24" i="1"/>
  <c r="BS12" i="1"/>
  <c r="BS40" i="1" l="1"/>
  <c r="BS24" i="1"/>
  <c r="BT12" i="1"/>
  <c r="BT40" i="1" l="1"/>
  <c r="BT24" i="1"/>
  <c r="BU12" i="1"/>
  <c r="BU40" i="1" l="1"/>
  <c r="BU24" i="1"/>
  <c r="BV12" i="1"/>
  <c r="BV40" i="1" l="1"/>
  <c r="BW12" i="1"/>
  <c r="BV24" i="1"/>
  <c r="BW72" i="1" l="1"/>
  <c r="BW83" i="1" s="1"/>
  <c r="BW47" i="1"/>
  <c r="BW55" i="1"/>
  <c r="BW40" i="1"/>
  <c r="BW24" i="1"/>
  <c r="BX12" i="1"/>
  <c r="BX55" i="1" l="1"/>
  <c r="BX72" i="1"/>
  <c r="BX83" i="1" s="1"/>
  <c r="BX47" i="1"/>
  <c r="BX40" i="1"/>
  <c r="BY12" i="1"/>
  <c r="BX24" i="1"/>
  <c r="BY72" i="1" l="1"/>
  <c r="BY83" i="1" s="1"/>
  <c r="BY55" i="1"/>
  <c r="BY47" i="1"/>
  <c r="BY40" i="1"/>
  <c r="BY24" i="1"/>
  <c r="BZ12" i="1"/>
  <c r="BZ72" i="1" l="1"/>
  <c r="BZ83" i="1" s="1"/>
  <c r="BZ55" i="1"/>
  <c r="BZ40" i="1"/>
  <c r="BZ47" i="1"/>
  <c r="BZ24" i="1"/>
  <c r="CA12" i="1"/>
  <c r="CA72" i="1" l="1"/>
  <c r="CA83" i="1" s="1"/>
  <c r="CA40" i="1"/>
  <c r="CA55" i="1"/>
  <c r="CA24" i="1"/>
  <c r="CA47" i="1"/>
  <c r="CB12" i="1"/>
  <c r="CB72" i="1" l="1"/>
  <c r="CB83" i="1" s="1"/>
  <c r="CB55" i="1"/>
  <c r="CB40" i="1"/>
  <c r="CB24" i="1"/>
  <c r="CB47" i="1"/>
  <c r="CC12" i="1"/>
  <c r="CC72" i="1" l="1"/>
  <c r="CC83" i="1" s="1"/>
  <c r="CC24" i="1"/>
  <c r="CC40" i="1"/>
  <c r="CC55" i="1"/>
  <c r="CC47" i="1"/>
  <c r="CD12" i="1"/>
  <c r="CD72" i="1" l="1"/>
  <c r="CD83" i="1" s="1"/>
  <c r="CD40" i="1"/>
  <c r="CD55" i="1"/>
  <c r="CD47" i="1"/>
  <c r="CD24" i="1"/>
  <c r="CE12" i="1"/>
  <c r="CE72" i="1" l="1"/>
  <c r="CE83" i="1" s="1"/>
  <c r="CE47" i="1"/>
  <c r="CE40" i="1"/>
  <c r="CE24" i="1"/>
  <c r="CE55" i="1"/>
  <c r="CF12" i="1"/>
  <c r="CF55" i="1" l="1"/>
  <c r="CF72" i="1"/>
  <c r="CF83" i="1" s="1"/>
  <c r="CF47" i="1"/>
  <c r="CG12" i="1"/>
  <c r="CF40" i="1"/>
  <c r="CF24" i="1"/>
  <c r="CG72" i="1" l="1"/>
  <c r="CG83" i="1" s="1"/>
  <c r="CG55" i="1"/>
  <c r="CG47" i="1"/>
  <c r="CG40" i="1"/>
  <c r="CH12" i="1"/>
  <c r="CG24" i="1"/>
  <c r="CH55" i="1" l="1"/>
  <c r="CH47" i="1"/>
  <c r="CH72" i="1"/>
  <c r="CH83" i="1" s="1"/>
  <c r="CH40" i="1"/>
  <c r="CH24" i="1"/>
  <c r="CI12" i="1"/>
  <c r="CI72" i="1" l="1"/>
  <c r="CI83" i="1" s="1"/>
  <c r="CI55" i="1"/>
  <c r="CI40" i="1"/>
  <c r="CI47" i="1"/>
  <c r="CI24" i="1"/>
  <c r="CJ12" i="1"/>
  <c r="CJ72" i="1" l="1"/>
  <c r="CJ83" i="1" s="1"/>
  <c r="CJ55" i="1"/>
  <c r="CJ40" i="1"/>
  <c r="CJ24" i="1"/>
  <c r="CK12" i="1"/>
  <c r="CJ47" i="1"/>
  <c r="CK72" i="1" l="1"/>
  <c r="CK83" i="1" s="1"/>
  <c r="CK55" i="1"/>
  <c r="CK24" i="1"/>
  <c r="CK47" i="1"/>
  <c r="CL12" i="1"/>
  <c r="CK40" i="1"/>
  <c r="CL72" i="1" l="1"/>
  <c r="CL83" i="1" s="1"/>
  <c r="CL55" i="1"/>
  <c r="CL47" i="1"/>
  <c r="CM12" i="1"/>
  <c r="CL24" i="1"/>
  <c r="CL40" i="1"/>
  <c r="CM47" i="1" l="1"/>
  <c r="CM72" i="1"/>
  <c r="CM83" i="1" s="1"/>
  <c r="CM40" i="1"/>
  <c r="CM55" i="1"/>
  <c r="CM24" i="1"/>
  <c r="CN12" i="1"/>
  <c r="CN55" i="1" l="1"/>
  <c r="CN72" i="1"/>
  <c r="CN83" i="1" s="1"/>
  <c r="CN47" i="1"/>
  <c r="CN40" i="1"/>
  <c r="CO12" i="1"/>
  <c r="CN24" i="1"/>
  <c r="CO72" i="1" l="1"/>
  <c r="CO83" i="1" s="1"/>
  <c r="CO40" i="1"/>
  <c r="CO24" i="1"/>
  <c r="CP12" i="1"/>
  <c r="CO47" i="1"/>
  <c r="CO55" i="1"/>
  <c r="CP72" i="1" l="1"/>
  <c r="CP83" i="1" s="1"/>
  <c r="CP55" i="1"/>
  <c r="CP40" i="1"/>
  <c r="CQ12" i="1"/>
  <c r="CP24" i="1"/>
  <c r="CP47" i="1"/>
  <c r="CQ72" i="1" l="1"/>
  <c r="CQ83" i="1" s="1"/>
  <c r="CQ40" i="1"/>
  <c r="CQ47" i="1"/>
  <c r="CQ55" i="1"/>
  <c r="CR12" i="1"/>
  <c r="CQ24" i="1"/>
  <c r="CR72" i="1" l="1"/>
  <c r="CR83" i="1" s="1"/>
  <c r="CR55" i="1"/>
  <c r="CR40" i="1"/>
  <c r="CR47" i="1"/>
  <c r="CR24" i="1"/>
  <c r="CS12" i="1"/>
  <c r="CS72" i="1" l="1"/>
  <c r="CS83" i="1" s="1"/>
  <c r="CS47" i="1"/>
  <c r="CS24" i="1"/>
  <c r="CS40" i="1"/>
  <c r="CS55" i="1"/>
  <c r="CT12" i="1"/>
  <c r="CT72" i="1" l="1"/>
  <c r="CT83" i="1" s="1"/>
  <c r="CT55" i="1"/>
  <c r="CT40" i="1"/>
  <c r="CU12" i="1"/>
  <c r="CT47" i="1"/>
  <c r="CT24" i="1"/>
  <c r="CU55" i="1" l="1"/>
  <c r="CU72" i="1"/>
  <c r="CU83" i="1" s="1"/>
  <c r="CU47" i="1"/>
  <c r="CU40" i="1"/>
  <c r="CU24" i="1"/>
  <c r="CV12" i="1"/>
  <c r="CV55" i="1" l="1"/>
  <c r="CV72" i="1"/>
  <c r="CV83" i="1" s="1"/>
  <c r="CV47" i="1"/>
  <c r="CW12" i="1"/>
  <c r="CV40" i="1"/>
  <c r="CV24" i="1"/>
  <c r="CW72" i="1" l="1"/>
  <c r="CW83" i="1" s="1"/>
  <c r="CW55" i="1"/>
  <c r="CW40" i="1"/>
  <c r="CW24" i="1"/>
  <c r="CW47" i="1"/>
  <c r="CX12" i="1"/>
  <c r="CX72" i="1" l="1"/>
  <c r="CX83" i="1" s="1"/>
  <c r="CX55" i="1"/>
  <c r="CX40" i="1"/>
  <c r="CX47" i="1"/>
  <c r="CX24" i="1"/>
  <c r="CY12" i="1"/>
  <c r="CY72" i="1" l="1"/>
  <c r="CY83" i="1" s="1"/>
  <c r="CY40" i="1"/>
  <c r="CY55" i="1"/>
  <c r="CY24" i="1"/>
  <c r="CY47" i="1"/>
  <c r="CZ12" i="1"/>
  <c r="CZ72" i="1" l="1"/>
  <c r="CZ83" i="1" s="1"/>
  <c r="CZ55" i="1"/>
  <c r="CZ40" i="1"/>
  <c r="CZ24" i="1"/>
  <c r="CZ47" i="1"/>
  <c r="DA12" i="1"/>
  <c r="DA72" i="1" l="1"/>
  <c r="DA83" i="1" s="1"/>
  <c r="DA40" i="1"/>
  <c r="DA24" i="1"/>
  <c r="DA47" i="1"/>
  <c r="DA55" i="1"/>
  <c r="DB12" i="1"/>
  <c r="DB72" i="1" l="1"/>
  <c r="DB83" i="1" s="1"/>
  <c r="DB47" i="1"/>
  <c r="DC12" i="1"/>
  <c r="DB55" i="1"/>
  <c r="DB40" i="1"/>
  <c r="DB24" i="1"/>
  <c r="DC72" i="1" l="1"/>
  <c r="DC83" i="1" s="1"/>
  <c r="DC47" i="1"/>
  <c r="DC55" i="1"/>
  <c r="DC40" i="1"/>
  <c r="DD12" i="1"/>
  <c r="DC24" i="1"/>
  <c r="DD55" i="1" l="1"/>
  <c r="DD72" i="1"/>
  <c r="DD83" i="1" s="1"/>
  <c r="DD47" i="1"/>
  <c r="DD40" i="1"/>
  <c r="DE12" i="1"/>
  <c r="DD24" i="1"/>
  <c r="DE72" i="1" l="1"/>
  <c r="DE83" i="1" s="1"/>
  <c r="DE55" i="1"/>
  <c r="DE47" i="1"/>
  <c r="DE24" i="1"/>
  <c r="DF12" i="1"/>
  <c r="DE40" i="1"/>
  <c r="DF72" i="1" l="1"/>
  <c r="DF83" i="1" s="1"/>
  <c r="DF55" i="1"/>
  <c r="DF47" i="1"/>
  <c r="DF40" i="1"/>
  <c r="DF24" i="1"/>
  <c r="DG12" i="1"/>
  <c r="DG72" i="1" l="1"/>
  <c r="DG83" i="1" s="1"/>
  <c r="DG40" i="1"/>
  <c r="DG55" i="1"/>
  <c r="DG47" i="1"/>
  <c r="DG24" i="1"/>
  <c r="DH12" i="1"/>
  <c r="DH72" i="1" l="1"/>
  <c r="DH83" i="1" s="1"/>
  <c r="DH55" i="1"/>
  <c r="DH40" i="1"/>
  <c r="DH24" i="1"/>
  <c r="DH47" i="1"/>
  <c r="DI12" i="1"/>
  <c r="DI72" i="1" l="1"/>
  <c r="DI83" i="1" s="1"/>
  <c r="DI24" i="1"/>
  <c r="DI40" i="1"/>
  <c r="DI55" i="1"/>
  <c r="DI47" i="1"/>
  <c r="DJ12" i="1"/>
  <c r="DJ72" i="1" l="1"/>
  <c r="DJ83" i="1" s="1"/>
  <c r="DJ40" i="1"/>
  <c r="DJ55" i="1"/>
  <c r="DK12" i="1"/>
  <c r="DJ47" i="1"/>
  <c r="DJ24" i="1"/>
  <c r="DK72" i="1" l="1"/>
  <c r="DK83" i="1" s="1"/>
  <c r="DK47" i="1"/>
  <c r="DK40" i="1"/>
  <c r="DK55" i="1"/>
  <c r="DK24" i="1"/>
  <c r="DL12" i="1"/>
  <c r="DL55" i="1" l="1"/>
  <c r="DL72" i="1"/>
  <c r="DL83" i="1" s="1"/>
  <c r="DL47" i="1"/>
  <c r="DM12" i="1"/>
  <c r="DL40" i="1"/>
  <c r="DL24" i="1"/>
  <c r="DM72" i="1" l="1"/>
  <c r="DM83" i="1" s="1"/>
  <c r="DM55" i="1"/>
  <c r="DM47" i="1"/>
  <c r="DM40" i="1"/>
  <c r="DM24" i="1"/>
  <c r="DN12" i="1"/>
  <c r="DN47" i="1" l="1"/>
  <c r="DN72" i="1"/>
  <c r="DN83" i="1" s="1"/>
  <c r="DN40" i="1"/>
  <c r="DN55" i="1"/>
  <c r="DN24" i="1"/>
  <c r="DO12" i="1"/>
  <c r="DO72" i="1" l="1"/>
  <c r="DO83" i="1" s="1"/>
  <c r="DO55" i="1"/>
  <c r="DO40" i="1"/>
  <c r="DO47" i="1"/>
  <c r="DO24" i="1"/>
  <c r="DP12" i="1"/>
  <c r="DP72" i="1" l="1"/>
  <c r="DP83" i="1" s="1"/>
  <c r="DP55" i="1"/>
  <c r="DP40" i="1"/>
  <c r="DP24" i="1"/>
  <c r="DQ12" i="1"/>
  <c r="DP47" i="1"/>
  <c r="DQ72" i="1" l="1"/>
  <c r="DQ83" i="1" s="1"/>
  <c r="DQ55" i="1"/>
  <c r="DQ24" i="1"/>
  <c r="DQ40" i="1"/>
  <c r="DQ47" i="1"/>
  <c r="DR12" i="1"/>
  <c r="DR72" i="1" l="1"/>
  <c r="DR83" i="1" s="1"/>
  <c r="DR47" i="1"/>
  <c r="DR55" i="1"/>
  <c r="DR40" i="1"/>
  <c r="DS12" i="1"/>
  <c r="DR24" i="1"/>
  <c r="DS47" i="1" l="1"/>
  <c r="DS72" i="1"/>
  <c r="DS83" i="1" s="1"/>
  <c r="DS40" i="1"/>
  <c r="DS55" i="1"/>
  <c r="DS24" i="1"/>
  <c r="DT12" i="1"/>
  <c r="DT55" i="1" l="1"/>
  <c r="DT72" i="1"/>
  <c r="DT83" i="1" s="1"/>
  <c r="DT47" i="1"/>
  <c r="DT40" i="1"/>
  <c r="DU12" i="1"/>
  <c r="DT24" i="1"/>
  <c r="DU72" i="1" l="1"/>
  <c r="DU83" i="1" s="1"/>
  <c r="DU40" i="1"/>
  <c r="DU55" i="1"/>
  <c r="DU24" i="1"/>
  <c r="DU47" i="1"/>
  <c r="DV12" i="1"/>
  <c r="DV72" i="1" l="1"/>
  <c r="DV83" i="1" s="1"/>
  <c r="DV55" i="1"/>
  <c r="DV47" i="1"/>
  <c r="DV40" i="1"/>
  <c r="DW12" i="1"/>
  <c r="DV24" i="1"/>
  <c r="DW72" i="1" l="1"/>
  <c r="DW83" i="1" s="1"/>
  <c r="DW40" i="1"/>
  <c r="DW55" i="1"/>
  <c r="DW47" i="1"/>
  <c r="DX12" i="1"/>
  <c r="DW24" i="1"/>
  <c r="DX72" i="1" l="1"/>
  <c r="DX83" i="1" s="1"/>
  <c r="DX55" i="1"/>
  <c r="DX40" i="1"/>
  <c r="DX47" i="1"/>
  <c r="DX24" i="1"/>
  <c r="DY12" i="1"/>
  <c r="DY72" i="1" l="1"/>
  <c r="DY83" i="1" s="1"/>
  <c r="DY47" i="1"/>
  <c r="DY55" i="1"/>
  <c r="DY24" i="1"/>
  <c r="DY40" i="1"/>
  <c r="DZ12" i="1"/>
  <c r="DZ72" i="1" l="1"/>
  <c r="DZ83" i="1" s="1"/>
  <c r="DZ55" i="1"/>
  <c r="DZ40" i="1"/>
  <c r="EA12" i="1"/>
  <c r="DZ24" i="1"/>
  <c r="DZ47" i="1"/>
  <c r="EA55" i="1" l="1"/>
  <c r="EA72" i="1"/>
  <c r="EA83" i="1" s="1"/>
  <c r="EA47" i="1"/>
  <c r="EA24" i="1"/>
  <c r="EA40" i="1"/>
  <c r="EB12" i="1"/>
  <c r="EB55" i="1" l="1"/>
  <c r="EB72" i="1"/>
  <c r="EB83" i="1" s="1"/>
  <c r="EB47" i="1"/>
  <c r="EC12" i="1"/>
  <c r="EB40" i="1"/>
  <c r="EB24" i="1"/>
  <c r="EC72" i="1" l="1"/>
  <c r="EC83" i="1" s="1"/>
  <c r="EC55" i="1"/>
  <c r="EC40" i="1"/>
  <c r="EC47" i="1"/>
  <c r="EC24" i="1"/>
  <c r="ED12" i="1"/>
  <c r="ED72" i="1" l="1"/>
  <c r="ED83" i="1" s="1"/>
  <c r="ED40" i="1"/>
  <c r="ED47" i="1"/>
  <c r="ED24" i="1"/>
  <c r="ED55" i="1"/>
</calcChain>
</file>

<file path=xl/sharedStrings.xml><?xml version="1.0" encoding="utf-8"?>
<sst xmlns="http://schemas.openxmlformats.org/spreadsheetml/2006/main" count="82" uniqueCount="79">
  <si>
    <t>PEOPLES GAS SYSTEM</t>
  </si>
  <si>
    <t>AVERAGE DEBT INTEREST RATES</t>
  </si>
  <si>
    <t>Pulling from BS</t>
  </si>
  <si>
    <t>Pulling from IS</t>
  </si>
  <si>
    <t>Pulling from Financials</t>
  </si>
  <si>
    <t>13 month average (BS)/12 month total (IS)</t>
  </si>
  <si>
    <t>Calculation</t>
  </si>
  <si>
    <t>Input</t>
  </si>
  <si>
    <t>LONG TERM DEBT COST RATE CALCULATION</t>
  </si>
  <si>
    <t>LTD Balance</t>
  </si>
  <si>
    <t>Long Term Notes</t>
  </si>
  <si>
    <t>Other Long Term Debt</t>
  </si>
  <si>
    <t>181 &amp; 189</t>
  </si>
  <si>
    <t>Unamortized DD&amp;E</t>
  </si>
  <si>
    <t>A_2190040</t>
  </si>
  <si>
    <t>OCI - Cash Flow Hedges Pretax</t>
  </si>
  <si>
    <t>LTD Balance - 13-month Average</t>
  </si>
  <si>
    <t>Regular int exp hitting (7500020/7500080) was journaled to the incorrect order, which derived it to FERC 930.2. It should be hitting FERC 431. Manual reclass to the IS in May and will be fixed in the system in June</t>
  </si>
  <si>
    <t>LTD Interest</t>
  </si>
  <si>
    <t>7500020</t>
  </si>
  <si>
    <t>7500080</t>
  </si>
  <si>
    <t>Total Int Exp</t>
  </si>
  <si>
    <t>A_7500110</t>
  </si>
  <si>
    <t>Interest Expense- L/T Debt</t>
  </si>
  <si>
    <t>Amort of Fees</t>
  </si>
  <si>
    <t>A_7500120</t>
  </si>
  <si>
    <t>Amortization of discount L/T Debt</t>
  </si>
  <si>
    <t>Regular Int Exp</t>
  </si>
  <si>
    <t>A_7500130</t>
  </si>
  <si>
    <t>Interest Exp - Amortiz of Fees on L/T Debt</t>
  </si>
  <si>
    <t>LTD Interest Balance</t>
  </si>
  <si>
    <t>LTD Interest - 12-month ended</t>
  </si>
  <si>
    <t>LTD COST RATE Average</t>
  </si>
  <si>
    <t>LTD COST RATE Year End</t>
  </si>
  <si>
    <t>SHORT TERM DEBT COST RATE CALCULATION</t>
  </si>
  <si>
    <t>Short-Term Debt Interest Rate</t>
  </si>
  <si>
    <t>From Vickie M. (NON TEC FILE)</t>
  </si>
  <si>
    <t>12-month average interest rate (Daily)</t>
  </si>
  <si>
    <t>From Vickie M. (TEC FILE)</t>
  </si>
  <si>
    <t>Month end interest rate (Daily)</t>
  </si>
  <si>
    <t>HIDE 46-68</t>
  </si>
  <si>
    <t>STD Balance</t>
  </si>
  <si>
    <t>A_2310000</t>
  </si>
  <si>
    <t>Notes Pay &lt;1yr Dur</t>
  </si>
  <si>
    <t>A_2330711</t>
  </si>
  <si>
    <t>NP IC Current Postng</t>
  </si>
  <si>
    <t>STD Balance - 13-month Average</t>
  </si>
  <si>
    <t>STD Interest</t>
  </si>
  <si>
    <t>A_7500020</t>
  </si>
  <si>
    <t>AR Securitization</t>
  </si>
  <si>
    <t>A_7500080</t>
  </si>
  <si>
    <t>Int Exp Cr Facility</t>
  </si>
  <si>
    <t>A_7500090</t>
  </si>
  <si>
    <t>Int Exp Oth ST Borrw</t>
  </si>
  <si>
    <t>A_7500700</t>
  </si>
  <si>
    <t>Int Exp Intercompany</t>
  </si>
  <si>
    <t>Amortizatoin of Fees in 930.2</t>
  </si>
  <si>
    <t>STD Interest Balance</t>
  </si>
  <si>
    <t>STD Interest - 12-month ended</t>
  </si>
  <si>
    <t>STD COST RATE Average (Use Daily Rate Instead)</t>
  </si>
  <si>
    <t>STD COST RATE Year End (Use Daily Rate Instead)</t>
  </si>
  <si>
    <t>CUSTOMER DEPOSITS COST RATE CALCULATION</t>
  </si>
  <si>
    <t>Deposits Balance</t>
  </si>
  <si>
    <t>A_2350100</t>
  </si>
  <si>
    <t>CIS Customer Deposits Short-term</t>
  </si>
  <si>
    <t>A_2350110</t>
  </si>
  <si>
    <t>Non-CIS Customer Deposits Short-term</t>
  </si>
  <si>
    <t>A_2420320</t>
  </si>
  <si>
    <t>Misc Accru Liab-Unclaimed Funds</t>
  </si>
  <si>
    <t>Deposits Balance - 13-month Average</t>
  </si>
  <si>
    <t>Deposits Interest</t>
  </si>
  <si>
    <t>A_7500030</t>
  </si>
  <si>
    <t>Interest Exp - Customer Deposits</t>
  </si>
  <si>
    <t>Deposits Interest Balance</t>
  </si>
  <si>
    <t>Deposits Interest - 12-month ended</t>
  </si>
  <si>
    <t>Deposits COST RATE Average</t>
  </si>
  <si>
    <t>Deposits COST RATE Year End</t>
  </si>
  <si>
    <t xml:space="preserve">SOURCE: </t>
  </si>
  <si>
    <t>W:\Actuals\2022\12 Dec\Surveillance Report\SR_Forecast_Dec 2022 Actual_LTF_2022 (use going fwd_interface inclued).xlsm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</si>
</sst>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2">
    <font>
      <sz val="10"/>
      <name val="Arial"/>
      <family val="2"/>
    </font>
    <font>
      <sz val="10"/>
      <name val="Arial"/>
      <family val="2"/>
    </font>
    <font>
      <sz val="12"/>
      <name val="Arial MT"/>
    </font>
    <font>
      <b/>
      <sz val="10"/>
      <color indexed="10"/>
      <name val="Calibri"/>
      <family val="2"/>
      <scheme val="minor"/>
    </font>
    <font>
      <b/>
      <sz val="10"/>
      <color rgb="FFFF0000"/>
      <name val="Calibri"/>
      <family val="2"/>
      <scheme val="minor"/>
    </font>
    <font>
      <b/>
      <sz val="10"/>
      <color indexed="8"/>
      <name val="Calibri"/>
      <family val="2"/>
      <scheme val="minor"/>
    </font>
    <font>
      <b/>
      <u/>
      <sz val="12"/>
      <color rgb="FFFF0000"/>
      <name val="Arial MT"/>
    </font>
    <font>
      <u/>
      <sz val="12"/>
      <color rgb="FFFF0000"/>
      <name val="Arial MT"/>
    </font>
    <font>
      <sz val="10"/>
      <color rgb="FFFF0000"/>
      <name val="Arial"/>
      <family val="2"/>
    </font>
    <font>
      <b/>
      <u/>
      <sz val="10"/>
      <color rgb="FF0000FF"/>
      <name val="Arial"/>
      <family val="2"/>
    </font>
    <font>
      <u/>
      <sz val="10"/>
      <name val="Arial"/>
      <family val="2"/>
    </font>
    <font>
      <b/>
      <sz val="10"/>
      <color rgb="FF0000FF"/>
      <name val="Arial"/>
      <family val="2"/>
    </font>
    <font>
      <sz val="10"/>
      <color indexed="8"/>
      <name val="Arial"/>
      <family val="2"/>
    </font>
    <font>
      <b/>
      <sz val="11"/>
      <color indexed="10"/>
      <name val="Arial"/>
      <family val="2"/>
    </font>
    <font>
      <sz val="12"/>
      <color rgb="FFFF0000"/>
      <name val="Arial MT"/>
    </font>
    <font>
      <b/>
      <sz val="11"/>
      <color rgb="FF0000FF"/>
      <name val="Arial"/>
      <family val="2"/>
    </font>
    <font>
      <sz val="10"/>
      <color rgb="FF0000FF"/>
      <name val="Arial"/>
      <family val="2"/>
    </font>
    <font>
      <sz val="14"/>
      <name val="Arial"/>
      <family val="2"/>
    </font>
    <font>
      <b/>
      <sz val="14"/>
      <color rgb="FFFF0000"/>
      <name val="Arial"/>
      <family val="2"/>
    </font>
    <font>
      <b/>
      <sz val="14"/>
      <color indexed="10"/>
      <name val="Arial"/>
      <family val="2"/>
    </font>
    <font>
      <b/>
      <sz val="14"/>
      <color rgb="FF0000FF"/>
      <name val="Arial"/>
      <family val="2"/>
    </font>
    <font>
      <b/>
      <sz val="16"/>
      <color rgb="FF0000FF"/>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0000"/>
        <bgColor indexed="64"/>
      </patternFill>
    </fill>
  </fills>
  <borders count="5">
    <border>
      <left/>
      <right/>
      <top/>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2" fillId="0" borderId="0" xfId="0" applyFont="1" applyAlignment="1">
      <alignment horizontal="left"/>
    </xf>
    <xf numFmtId="0" fontId="1" fillId="0" borderId="0" xfId="0" applyFont="1"/>
    <xf numFmtId="0" fontId="2" fillId="0" borderId="0" xfId="0" applyFont="1" applyAlignment="1">
      <alignment horizontal="centerContinuous"/>
    </xf>
    <xf numFmtId="0" fontId="2" fillId="0" borderId="0" xfId="0" applyFont="1"/>
    <xf numFmtId="49" fontId="3" fillId="2" borderId="0" xfId="0" applyNumberFormat="1" applyFont="1" applyFill="1"/>
    <xf numFmtId="164" fontId="4" fillId="3" borderId="0" xfId="0" applyNumberFormat="1" applyFont="1" applyFill="1"/>
    <xf numFmtId="49" fontId="3" fillId="4" borderId="0" xfId="0" applyNumberFormat="1" applyFont="1" applyFill="1"/>
    <xf numFmtId="164" fontId="5" fillId="5" borderId="0" xfId="0" applyNumberFormat="1" applyFont="1" applyFill="1"/>
    <xf numFmtId="164" fontId="5" fillId="6" borderId="0" xfId="0" applyNumberFormat="1" applyFont="1" applyFill="1"/>
    <xf numFmtId="164" fontId="5" fillId="7" borderId="0" xfId="0" applyNumberFormat="1" applyFont="1" applyFill="1"/>
    <xf numFmtId="0" fontId="6" fillId="0" borderId="0" xfId="0" applyFont="1"/>
    <xf numFmtId="0" fontId="7" fillId="0" borderId="0" xfId="0" applyFont="1"/>
    <xf numFmtId="0" fontId="8" fillId="0" borderId="0" xfId="0" applyFont="1"/>
    <xf numFmtId="0" fontId="9" fillId="0" borderId="0" xfId="0" applyFont="1"/>
    <xf numFmtId="17" fontId="10" fillId="0" borderId="0" xfId="0" applyNumberFormat="1" applyFont="1" applyAlignment="1">
      <alignment horizontal="center"/>
    </xf>
    <xf numFmtId="0" fontId="1" fillId="0" borderId="0" xfId="0" applyFont="1" applyAlignment="1">
      <alignment horizontal="center"/>
    </xf>
    <xf numFmtId="165" fontId="1" fillId="0" borderId="0" xfId="1" applyNumberFormat="1" applyFont="1"/>
    <xf numFmtId="165" fontId="1" fillId="4" borderId="0" xfId="1" applyNumberFormat="1" applyFont="1" applyFill="1"/>
    <xf numFmtId="43" fontId="1" fillId="0" borderId="0" xfId="0" applyNumberFormat="1" applyFont="1"/>
    <xf numFmtId="165" fontId="1" fillId="0" borderId="0" xfId="1" applyNumberFormat="1" applyFont="1" applyBorder="1"/>
    <xf numFmtId="165" fontId="1" fillId="4" borderId="0" xfId="1" applyNumberFormat="1" applyFont="1" applyFill="1" applyBorder="1"/>
    <xf numFmtId="165" fontId="1" fillId="0" borderId="1" xfId="1" applyNumberFormat="1" applyFont="1" applyBorder="1"/>
    <xf numFmtId="165" fontId="8" fillId="2" borderId="1" xfId="2" applyNumberFormat="1" applyFont="1" applyFill="1" applyBorder="1"/>
    <xf numFmtId="0" fontId="11" fillId="0" borderId="0" xfId="0" applyFont="1" applyAlignment="1">
      <alignment horizontal="right"/>
    </xf>
    <xf numFmtId="43" fontId="1" fillId="0" borderId="0" xfId="1" applyFont="1"/>
    <xf numFmtId="164" fontId="12" fillId="5" borderId="0" xfId="0" applyNumberFormat="1" applyFont="1" applyFill="1"/>
    <xf numFmtId="0" fontId="1" fillId="2" borderId="0" xfId="0" applyFont="1" applyFill="1" applyAlignment="1">
      <alignment horizontal="left" wrapText="1"/>
    </xf>
    <xf numFmtId="17" fontId="10" fillId="0" borderId="0" xfId="0" quotePrefix="1" applyNumberFormat="1" applyFont="1" applyAlignment="1">
      <alignment horizontal="center"/>
    </xf>
    <xf numFmtId="164" fontId="1" fillId="0" borderId="0" xfId="0" applyNumberFormat="1" applyFont="1"/>
    <xf numFmtId="164" fontId="1" fillId="4" borderId="0" xfId="0" applyNumberFormat="1" applyFont="1" applyFill="1"/>
    <xf numFmtId="43" fontId="1" fillId="0" borderId="1" xfId="1" applyFont="1" applyFill="1" applyBorder="1"/>
    <xf numFmtId="164" fontId="8" fillId="2" borderId="0" xfId="0" applyNumberFormat="1" applyFont="1" applyFill="1"/>
    <xf numFmtId="164" fontId="8" fillId="3" borderId="0" xfId="0" applyNumberFormat="1" applyFont="1" applyFill="1"/>
    <xf numFmtId="164" fontId="8" fillId="2" borderId="1" xfId="0" applyNumberFormat="1" applyFont="1" applyFill="1" applyBorder="1"/>
    <xf numFmtId="164" fontId="8" fillId="3" borderId="1" xfId="0" applyNumberFormat="1" applyFont="1" applyFill="1" applyBorder="1"/>
    <xf numFmtId="10" fontId="13" fillId="0" borderId="0" xfId="3" applyNumberFormat="1" applyFont="1" applyFill="1" applyAlignment="1"/>
    <xf numFmtId="10" fontId="13" fillId="4" borderId="0" xfId="3" applyNumberFormat="1" applyFont="1" applyFill="1" applyAlignment="1"/>
    <xf numFmtId="10" fontId="13" fillId="6" borderId="0" xfId="3" applyNumberFormat="1" applyFont="1" applyFill="1" applyAlignment="1"/>
    <xf numFmtId="0" fontId="14" fillId="0" borderId="0" xfId="0" applyFont="1"/>
    <xf numFmtId="10" fontId="15" fillId="0" borderId="0" xfId="3" applyNumberFormat="1" applyFont="1" applyFill="1" applyAlignment="1"/>
    <xf numFmtId="10" fontId="15" fillId="4" borderId="0" xfId="3" applyNumberFormat="1" applyFont="1" applyFill="1" applyAlignment="1"/>
    <xf numFmtId="10" fontId="15" fillId="7" borderId="0" xfId="3" applyNumberFormat="1" applyFont="1" applyFill="1" applyAlignment="1"/>
    <xf numFmtId="10" fontId="1" fillId="0" borderId="0" xfId="3" applyNumberFormat="1" applyFont="1"/>
    <xf numFmtId="10" fontId="16" fillId="0" borderId="0" xfId="3" applyNumberFormat="1" applyFont="1"/>
    <xf numFmtId="10" fontId="16" fillId="0" borderId="0" xfId="3" applyNumberFormat="1" applyFont="1" applyFill="1"/>
    <xf numFmtId="0" fontId="8" fillId="2" borderId="0" xfId="0" applyFont="1" applyFill="1"/>
    <xf numFmtId="165" fontId="8" fillId="2" borderId="0" xfId="2" applyNumberFormat="1" applyFont="1" applyFill="1" applyBorder="1"/>
    <xf numFmtId="165" fontId="1" fillId="0" borderId="0" xfId="0" applyNumberFormat="1" applyFont="1"/>
    <xf numFmtId="164" fontId="8" fillId="8" borderId="1" xfId="0" applyNumberFormat="1" applyFont="1" applyFill="1" applyBorder="1"/>
    <xf numFmtId="164" fontId="1" fillId="9" borderId="1" xfId="0" applyNumberFormat="1" applyFont="1" applyFill="1" applyBorder="1"/>
    <xf numFmtId="0" fontId="2" fillId="0" borderId="0" xfId="0" applyFont="1" applyAlignment="1">
      <alignment horizontal="center"/>
    </xf>
    <xf numFmtId="165" fontId="0" fillId="0" borderId="0" xfId="4" applyNumberFormat="1" applyFont="1"/>
    <xf numFmtId="165" fontId="0" fillId="0" borderId="1" xfId="4" applyNumberFormat="1" applyFont="1" applyBorder="1"/>
    <xf numFmtId="165" fontId="1" fillId="4" borderId="1" xfId="1" applyNumberFormat="1" applyFont="1" applyFill="1" applyBorder="1"/>
    <xf numFmtId="165" fontId="1" fillId="0" borderId="0" xfId="4" applyNumberFormat="1"/>
    <xf numFmtId="10" fontId="13" fillId="0" borderId="0" xfId="3" applyNumberFormat="1" applyFont="1"/>
    <xf numFmtId="0" fontId="18" fillId="0" borderId="0" xfId="0" applyFont="1" applyAlignment="1">
      <alignment horizontal="right"/>
    </xf>
    <xf numFmtId="0" fontId="18" fillId="0" borderId="0" xfId="0" applyFont="1"/>
    <xf numFmtId="0" fontId="17" fillId="0" borderId="3" xfId="0" applyFont="1" applyBorder="1"/>
    <xf numFmtId="0" fontId="17" fillId="0" borderId="4" xfId="0" applyFont="1" applyBorder="1"/>
    <xf numFmtId="10" fontId="19" fillId="0" borderId="0" xfId="3" applyNumberFormat="1" applyFont="1" applyFill="1" applyAlignment="1"/>
    <xf numFmtId="10" fontId="20" fillId="0" borderId="0" xfId="3" applyNumberFormat="1" applyFont="1" applyFill="1" applyAlignment="1"/>
    <xf numFmtId="10" fontId="20" fillId="4" borderId="0" xfId="3" applyNumberFormat="1" applyFont="1" applyFill="1" applyAlignment="1"/>
    <xf numFmtId="10" fontId="20" fillId="7" borderId="0" xfId="3" applyNumberFormat="1" applyFont="1" applyFill="1" applyAlignment="1"/>
    <xf numFmtId="10" fontId="21" fillId="7" borderId="2" xfId="3" applyNumberFormat="1" applyFont="1" applyFill="1" applyBorder="1" applyAlignment="1"/>
  </cellXfs>
  <cellStyles count="5">
    <cellStyle name="Comma" xfId="1" builtinId="3"/>
    <cellStyle name="Comma 10 2" xfId="4" xr:uid="{EEDF9C36-C1A7-4642-93F7-743BD43AA0F9}"/>
    <cellStyle name="Comma 2 2" xfId="2" xr:uid="{95EE6A99-FA4E-4D79-B302-85FC37C474B3}"/>
    <cellStyle name="Normal" xfId="0" builtinId="0"/>
    <cellStyle name="Percent 2 2 2" xfId="3" xr:uid="{1A74C831-B73D-401B-93C0-E8E843276C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134</xdr:col>
      <xdr:colOff>2948940</xdr:colOff>
      <xdr:row>28</xdr:row>
      <xdr:rowOff>1112520</xdr:rowOff>
    </xdr:from>
    <xdr:to>
      <xdr:col>143</xdr:col>
      <xdr:colOff>0</xdr:colOff>
      <xdr:row>46</xdr:row>
      <xdr:rowOff>92823</xdr:rowOff>
    </xdr:to>
    <xdr:pic>
      <xdr:nvPicPr>
        <xdr:cNvPr id="2" name="Picture 1">
          <a:extLst>
            <a:ext uri="{FF2B5EF4-FFF2-40B4-BE49-F238E27FC236}">
              <a16:creationId xmlns:a16="http://schemas.microsoft.com/office/drawing/2014/main" id="{EDFE09B4-03B5-42A1-92E6-7169AF551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81465" y="5017770"/>
          <a:ext cx="6261735" cy="3174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134</xdr:col>
      <xdr:colOff>2948940</xdr:colOff>
      <xdr:row>70</xdr:row>
      <xdr:rowOff>152400</xdr:rowOff>
    </xdr:from>
    <xdr:to>
      <xdr:col>142</xdr:col>
      <xdr:colOff>181610</xdr:colOff>
      <xdr:row>94</xdr:row>
      <xdr:rowOff>9523</xdr:rowOff>
    </xdr:to>
    <xdr:pic>
      <xdr:nvPicPr>
        <xdr:cNvPr id="3" name="Picture 3">
          <a:extLst>
            <a:ext uri="{FF2B5EF4-FFF2-40B4-BE49-F238E27FC236}">
              <a16:creationId xmlns:a16="http://schemas.microsoft.com/office/drawing/2014/main" id="{25418B56-E2FE-495F-8FCB-7FF4DCEE25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581465" y="12115800"/>
          <a:ext cx="5405120" cy="441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143</xdr:col>
      <xdr:colOff>396240</xdr:colOff>
      <xdr:row>28</xdr:row>
      <xdr:rowOff>0</xdr:rowOff>
    </xdr:from>
    <xdr:to>
      <xdr:col>161</xdr:col>
      <xdr:colOff>1996440</xdr:colOff>
      <xdr:row>73</xdr:row>
      <xdr:rowOff>701040</xdr:rowOff>
    </xdr:to>
    <xdr:pic>
      <xdr:nvPicPr>
        <xdr:cNvPr id="4" name="Picture 4">
          <a:extLst>
            <a:ext uri="{FF2B5EF4-FFF2-40B4-BE49-F238E27FC236}">
              <a16:creationId xmlns:a16="http://schemas.microsoft.com/office/drawing/2014/main" id="{196AF17D-9DD6-4041-B894-E6257C6E28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239440" y="4857750"/>
          <a:ext cx="10858500" cy="786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143</xdr:col>
      <xdr:colOff>586740</xdr:colOff>
      <xdr:row>74</xdr:row>
      <xdr:rowOff>373380</xdr:rowOff>
    </xdr:from>
    <xdr:to>
      <xdr:col>160</xdr:col>
      <xdr:colOff>1653540</xdr:colOff>
      <xdr:row>104</xdr:row>
      <xdr:rowOff>541020</xdr:rowOff>
    </xdr:to>
    <xdr:pic>
      <xdr:nvPicPr>
        <xdr:cNvPr id="5" name="Picture 5">
          <a:extLst>
            <a:ext uri="{FF2B5EF4-FFF2-40B4-BE49-F238E27FC236}">
              <a16:creationId xmlns:a16="http://schemas.microsoft.com/office/drawing/2014/main" id="{E439D717-A089-42B7-8FAD-FBC441E796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429940" y="12917805"/>
          <a:ext cx="10077450" cy="538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ctuals\2022\12%20Dec\Surveillance%20Report\SR_Forecast_Dec%202022%20Actual_LTF_2022%20(use%20going%20fwd_interface%20inclu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Report"/>
      <sheetName val="Cover"/>
      <sheetName val="Drivers Tabs-&gt;"/>
      <sheetName val="Input"/>
      <sheetName val="Debt &amp; Cust Dep"/>
      <sheetName val="Input Plant"/>
      <sheetName val="Input Seg of CWIP"/>
      <sheetName val="Input Tax Rate"/>
      <sheetName val="Input WFNG"/>
      <sheetName val="Input IS ACCTS"/>
      <sheetName val="Input BS ACCTS"/>
      <sheetName val="Model Tabs -&gt;"/>
      <sheetName val="Bal Sheet"/>
      <sheetName val="IncomeStmt"/>
      <sheetName val="Cap Str 54.7%"/>
      <sheetName val="Int Synch"/>
      <sheetName val="Output Tabs-&gt;"/>
      <sheetName val="Market to Reg ROE"/>
      <sheetName val="Reconcil"/>
      <sheetName val="Comparison Report Tabs-&gt;"/>
      <sheetName val="COMP Prior Yr"/>
      <sheetName val="COMP Final Bud"/>
      <sheetName val="COMP Q1F Qrtly"/>
      <sheetName val="COMP Bud Qrtly"/>
      <sheetName val="COMP Q3F"/>
      <sheetName val="NOT UPDATED ---------&gt;"/>
      <sheetName val="Working Cap Comparison"/>
      <sheetName val="Report YE"/>
      <sheetName val="Reconcil YE"/>
      <sheetName val="AFUDC Sch A "/>
      <sheetName val="AFUDC Sch B"/>
      <sheetName val="AFUDC Sch C"/>
      <sheetName val="ROE Comparison"/>
      <sheetName val="COMP Org Bud Qrtly"/>
      <sheetName val="COMP Orginal Bud"/>
      <sheetName val="COMP Qrt vs prior Yr Qtr"/>
      <sheetName val="COMP 5+7F"/>
    </sheetNames>
    <sheetDataSet>
      <sheetData sheetId="0">
        <row r="3">
          <cell r="F3">
            <v>0.1</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ow r="6">
          <cell r="A6" t="str">
            <v>4073060</v>
          </cell>
          <cell r="B6" t="str">
            <v>4073060</v>
          </cell>
          <cell r="C6" t="str">
            <v>REG DR Def PGA</v>
          </cell>
          <cell r="D6">
            <v>679986</v>
          </cell>
          <cell r="E6">
            <v>5019291</v>
          </cell>
          <cell r="F6">
            <v>-818714</v>
          </cell>
          <cell r="G6">
            <v>1885134</v>
          </cell>
          <cell r="H6">
            <v>-2013681</v>
          </cell>
          <cell r="I6">
            <v>1920726</v>
          </cell>
          <cell r="J6">
            <v>764503.05</v>
          </cell>
          <cell r="K6">
            <v>189971</v>
          </cell>
          <cell r="L6">
            <v>-269327</v>
          </cell>
          <cell r="M6">
            <v>-1988662</v>
          </cell>
          <cell r="N6">
            <v>-5688020</v>
          </cell>
          <cell r="O6">
            <v>2440143.9</v>
          </cell>
          <cell r="P6">
            <v>874005</v>
          </cell>
          <cell r="Q6">
            <v>-46942</v>
          </cell>
          <cell r="R6">
            <v>1692339</v>
          </cell>
          <cell r="S6">
            <v>0</v>
          </cell>
          <cell r="T6">
            <v>0</v>
          </cell>
          <cell r="U6">
            <v>2345723</v>
          </cell>
          <cell r="V6">
            <v>0</v>
          </cell>
          <cell r="W6">
            <v>532507</v>
          </cell>
          <cell r="X6">
            <v>0</v>
          </cell>
          <cell r="Y6">
            <v>0</v>
          </cell>
          <cell r="Z6">
            <v>0</v>
          </cell>
          <cell r="AA6">
            <v>0</v>
          </cell>
          <cell r="AB6">
            <v>1010190</v>
          </cell>
          <cell r="AC6">
            <v>5028710</v>
          </cell>
          <cell r="AD6">
            <v>1623436</v>
          </cell>
          <cell r="AE6">
            <v>777966</v>
          </cell>
          <cell r="AF6">
            <v>1592898</v>
          </cell>
          <cell r="AG6">
            <v>1972766</v>
          </cell>
          <cell r="AH6">
            <v>1264664</v>
          </cell>
          <cell r="AI6">
            <v>835184</v>
          </cell>
          <cell r="AJ6">
            <v>0</v>
          </cell>
          <cell r="AK6">
            <v>0</v>
          </cell>
          <cell r="AL6">
            <v>0</v>
          </cell>
          <cell r="AM6">
            <v>0</v>
          </cell>
          <cell r="AN6">
            <v>554769</v>
          </cell>
          <cell r="AO6">
            <v>3223761</v>
          </cell>
          <cell r="AP6">
            <v>0</v>
          </cell>
          <cell r="AQ6">
            <v>1044957</v>
          </cell>
          <cell r="AR6">
            <v>96188</v>
          </cell>
          <cell r="AS6">
            <v>0</v>
          </cell>
          <cell r="AT6">
            <v>0</v>
          </cell>
          <cell r="AU6">
            <v>0</v>
          </cell>
          <cell r="AV6">
            <v>1278299</v>
          </cell>
          <cell r="AW6">
            <v>0</v>
          </cell>
          <cell r="AX6">
            <v>0</v>
          </cell>
          <cell r="AY6">
            <v>765281</v>
          </cell>
          <cell r="AZ6">
            <v>4926984</v>
          </cell>
          <cell r="BA6">
            <v>5862451</v>
          </cell>
          <cell r="BB6">
            <v>0</v>
          </cell>
          <cell r="BC6">
            <v>3350938</v>
          </cell>
          <cell r="BD6">
            <v>0</v>
          </cell>
          <cell r="BE6">
            <v>172230</v>
          </cell>
          <cell r="BF6">
            <v>0</v>
          </cell>
          <cell r="BG6">
            <v>0</v>
          </cell>
          <cell r="BH6">
            <v>204507</v>
          </cell>
          <cell r="BI6">
            <v>0</v>
          </cell>
          <cell r="BJ6">
            <v>0</v>
          </cell>
          <cell r="BK6">
            <v>0</v>
          </cell>
          <cell r="BL6">
            <v>1935561</v>
          </cell>
          <cell r="BM6">
            <v>3580818</v>
          </cell>
          <cell r="BN6">
            <v>1224380</v>
          </cell>
          <cell r="BO6">
            <v>3105870</v>
          </cell>
          <cell r="BP6">
            <v>2591667</v>
          </cell>
          <cell r="BQ6">
            <v>1229044</v>
          </cell>
          <cell r="BR6">
            <v>330011</v>
          </cell>
          <cell r="BS6">
            <v>0</v>
          </cell>
          <cell r="BT6">
            <v>706367</v>
          </cell>
          <cell r="BU6">
            <v>0</v>
          </cell>
          <cell r="BV6">
            <v>0</v>
          </cell>
          <cell r="BW6">
            <v>1284764</v>
          </cell>
          <cell r="BX6">
            <v>3527066</v>
          </cell>
          <cell r="BY6">
            <v>3182845</v>
          </cell>
          <cell r="BZ6">
            <v>1357240</v>
          </cell>
          <cell r="CA6">
            <v>774904</v>
          </cell>
          <cell r="CB6">
            <v>0</v>
          </cell>
          <cell r="CC6">
            <v>746533</v>
          </cell>
          <cell r="CD6">
            <v>0</v>
          </cell>
          <cell r="CE6">
            <v>0</v>
          </cell>
          <cell r="CF6">
            <v>0</v>
          </cell>
          <cell r="CG6">
            <v>0</v>
          </cell>
          <cell r="CH6">
            <v>0</v>
          </cell>
          <cell r="CI6">
            <v>0</v>
          </cell>
          <cell r="CJ6">
            <v>3733943</v>
          </cell>
          <cell r="CK6">
            <v>0</v>
          </cell>
          <cell r="CL6">
            <v>0</v>
          </cell>
          <cell r="CM6">
            <v>3928902</v>
          </cell>
          <cell r="CN6">
            <v>503058</v>
          </cell>
          <cell r="CO6">
            <v>0</v>
          </cell>
          <cell r="CP6">
            <v>417974</v>
          </cell>
          <cell r="CQ6">
            <v>0</v>
          </cell>
          <cell r="CR6">
            <v>0</v>
          </cell>
          <cell r="CS6">
            <v>0</v>
          </cell>
          <cell r="CT6">
            <v>0</v>
          </cell>
          <cell r="CU6">
            <v>589453</v>
          </cell>
          <cell r="CV6">
            <v>3918226</v>
          </cell>
          <cell r="CW6">
            <v>4716521</v>
          </cell>
          <cell r="CX6">
            <v>0</v>
          </cell>
          <cell r="CY6">
            <v>0</v>
          </cell>
          <cell r="CZ6">
            <v>0</v>
          </cell>
          <cell r="DA6">
            <v>0</v>
          </cell>
          <cell r="DB6">
            <v>115510</v>
          </cell>
          <cell r="DC6">
            <v>2842822</v>
          </cell>
          <cell r="DD6">
            <v>4552641</v>
          </cell>
          <cell r="DE6">
            <v>2462288</v>
          </cell>
          <cell r="DF6">
            <v>0</v>
          </cell>
          <cell r="DG6">
            <v>0</v>
          </cell>
          <cell r="DH6">
            <v>18608008</v>
          </cell>
        </row>
        <row r="7">
          <cell r="A7" t="str">
            <v>4073061</v>
          </cell>
          <cell r="B7" t="str">
            <v>4073061</v>
          </cell>
          <cell r="C7" t="str">
            <v>REG DR Def PGA Amtz</v>
          </cell>
          <cell r="AZ7">
            <v>292032</v>
          </cell>
          <cell r="BA7">
            <v>292032</v>
          </cell>
          <cell r="BB7">
            <v>292032</v>
          </cell>
          <cell r="BC7">
            <v>292032</v>
          </cell>
          <cell r="BD7">
            <v>292032</v>
          </cell>
          <cell r="BE7">
            <v>292032</v>
          </cell>
          <cell r="BF7">
            <v>292032</v>
          </cell>
          <cell r="BG7">
            <v>292032</v>
          </cell>
          <cell r="BH7">
            <v>292032</v>
          </cell>
          <cell r="BI7">
            <v>292032</v>
          </cell>
          <cell r="BJ7">
            <v>292032</v>
          </cell>
          <cell r="BK7">
            <v>292029</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644361</v>
          </cell>
          <cell r="CW7">
            <v>644361</v>
          </cell>
          <cell r="CX7">
            <v>644361</v>
          </cell>
          <cell r="CY7">
            <v>644361</v>
          </cell>
          <cell r="CZ7">
            <v>644361</v>
          </cell>
          <cell r="DA7">
            <v>644361</v>
          </cell>
          <cell r="DB7">
            <v>644361</v>
          </cell>
          <cell r="DC7">
            <v>644361</v>
          </cell>
          <cell r="DD7">
            <v>644361</v>
          </cell>
          <cell r="DE7">
            <v>644361</v>
          </cell>
          <cell r="DF7">
            <v>644361</v>
          </cell>
          <cell r="DG7">
            <v>644365</v>
          </cell>
          <cell r="DH7">
            <v>7732336</v>
          </cell>
        </row>
        <row r="8">
          <cell r="A8" t="str">
            <v>4073071</v>
          </cell>
          <cell r="B8" t="str">
            <v>4073071</v>
          </cell>
          <cell r="C8" t="str">
            <v>REG DR CI/BSR Rider</v>
          </cell>
          <cell r="D8">
            <v>135248</v>
          </cell>
          <cell r="E8">
            <v>125940</v>
          </cell>
          <cell r="F8">
            <v>67278</v>
          </cell>
          <cell r="G8">
            <v>44926</v>
          </cell>
          <cell r="H8">
            <v>1437</v>
          </cell>
          <cell r="I8">
            <v>-520</v>
          </cell>
          <cell r="J8">
            <v>0</v>
          </cell>
          <cell r="K8">
            <v>0</v>
          </cell>
          <cell r="L8">
            <v>0</v>
          </cell>
          <cell r="M8">
            <v>0</v>
          </cell>
          <cell r="N8">
            <v>0</v>
          </cell>
          <cell r="O8">
            <v>0</v>
          </cell>
          <cell r="P8">
            <v>211438</v>
          </cell>
          <cell r="Q8">
            <v>148838.45000000001</v>
          </cell>
          <cell r="R8">
            <v>123002.41</v>
          </cell>
          <cell r="S8">
            <v>14225.68</v>
          </cell>
          <cell r="T8">
            <v>-178</v>
          </cell>
          <cell r="U8">
            <v>0</v>
          </cell>
          <cell r="V8">
            <v>0</v>
          </cell>
          <cell r="W8">
            <v>0</v>
          </cell>
          <cell r="X8">
            <v>0</v>
          </cell>
          <cell r="Y8">
            <v>0</v>
          </cell>
          <cell r="Z8">
            <v>0</v>
          </cell>
          <cell r="AA8">
            <v>0</v>
          </cell>
          <cell r="AB8">
            <v>125650.52</v>
          </cell>
          <cell r="AC8">
            <v>176191</v>
          </cell>
          <cell r="AD8">
            <v>102005</v>
          </cell>
          <cell r="AE8">
            <v>31870</v>
          </cell>
          <cell r="AF8">
            <v>-136</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Z8">
            <v>582327</v>
          </cell>
          <cell r="BA8">
            <v>418952</v>
          </cell>
          <cell r="BB8">
            <v>177031</v>
          </cell>
          <cell r="BC8">
            <v>190011</v>
          </cell>
          <cell r="BD8">
            <v>334292</v>
          </cell>
          <cell r="BE8">
            <v>-81651</v>
          </cell>
          <cell r="BF8">
            <v>0</v>
          </cell>
          <cell r="BG8">
            <v>0</v>
          </cell>
          <cell r="BH8">
            <v>0</v>
          </cell>
          <cell r="BI8">
            <v>0</v>
          </cell>
          <cell r="BJ8">
            <v>0</v>
          </cell>
          <cell r="BK8">
            <v>6390</v>
          </cell>
          <cell r="BL8">
            <v>367155</v>
          </cell>
          <cell r="BM8">
            <v>291525</v>
          </cell>
          <cell r="BN8">
            <v>104259</v>
          </cell>
          <cell r="BO8">
            <v>2319</v>
          </cell>
          <cell r="BP8">
            <v>153</v>
          </cell>
          <cell r="BQ8">
            <v>0</v>
          </cell>
          <cell r="BR8">
            <v>0</v>
          </cell>
          <cell r="BS8">
            <v>0</v>
          </cell>
          <cell r="BT8">
            <v>0</v>
          </cell>
          <cell r="BU8">
            <v>24577</v>
          </cell>
          <cell r="BV8">
            <v>0</v>
          </cell>
          <cell r="BW8">
            <v>-83264</v>
          </cell>
          <cell r="BX8">
            <v>459156</v>
          </cell>
          <cell r="BY8">
            <v>386397</v>
          </cell>
          <cell r="BZ8">
            <v>223176</v>
          </cell>
          <cell r="CA8">
            <v>0</v>
          </cell>
          <cell r="CB8">
            <v>0</v>
          </cell>
          <cell r="CC8">
            <v>0</v>
          </cell>
          <cell r="CD8">
            <v>0</v>
          </cell>
          <cell r="CE8">
            <v>0</v>
          </cell>
          <cell r="CF8">
            <v>0</v>
          </cell>
          <cell r="CG8">
            <v>0</v>
          </cell>
          <cell r="CH8">
            <v>0</v>
          </cell>
          <cell r="CI8">
            <v>0</v>
          </cell>
          <cell r="CJ8">
            <v>318354</v>
          </cell>
          <cell r="CK8">
            <v>234765</v>
          </cell>
          <cell r="CL8">
            <v>127008</v>
          </cell>
          <cell r="CM8">
            <v>89725</v>
          </cell>
          <cell r="CN8">
            <v>0</v>
          </cell>
          <cell r="CO8">
            <v>0</v>
          </cell>
          <cell r="CP8">
            <v>0</v>
          </cell>
          <cell r="CQ8">
            <v>0</v>
          </cell>
          <cell r="CR8">
            <v>823</v>
          </cell>
          <cell r="CS8">
            <v>0</v>
          </cell>
          <cell r="CT8">
            <v>0</v>
          </cell>
          <cell r="CU8">
            <v>0</v>
          </cell>
          <cell r="CV8">
            <v>176002</v>
          </cell>
          <cell r="CW8">
            <v>198667</v>
          </cell>
          <cell r="CX8">
            <v>98331</v>
          </cell>
          <cell r="CY8">
            <v>30832</v>
          </cell>
          <cell r="CZ8">
            <v>0</v>
          </cell>
          <cell r="DA8">
            <v>0</v>
          </cell>
          <cell r="DB8">
            <v>0</v>
          </cell>
          <cell r="DC8">
            <v>0</v>
          </cell>
          <cell r="DD8">
            <v>0</v>
          </cell>
          <cell r="DE8">
            <v>0</v>
          </cell>
          <cell r="DF8">
            <v>0</v>
          </cell>
          <cell r="DG8">
            <v>0</v>
          </cell>
          <cell r="DH8">
            <v>503832</v>
          </cell>
        </row>
        <row r="9">
          <cell r="A9" t="str">
            <v>4073072</v>
          </cell>
          <cell r="B9" t="str">
            <v>4073072</v>
          </cell>
          <cell r="C9" t="str">
            <v>REG DR Def CIBSR Amt</v>
          </cell>
          <cell r="AZ9">
            <v>39660</v>
          </cell>
          <cell r="BA9">
            <v>39660</v>
          </cell>
          <cell r="BB9">
            <v>39660</v>
          </cell>
          <cell r="BC9">
            <v>39660</v>
          </cell>
          <cell r="BD9">
            <v>39660</v>
          </cell>
          <cell r="BE9">
            <v>39660</v>
          </cell>
          <cell r="BF9">
            <v>39660</v>
          </cell>
          <cell r="BG9">
            <v>39660</v>
          </cell>
          <cell r="BH9">
            <v>39660</v>
          </cell>
          <cell r="BI9">
            <v>39660</v>
          </cell>
          <cell r="BJ9">
            <v>39660</v>
          </cell>
          <cell r="BK9">
            <v>39659</v>
          </cell>
          <cell r="BL9">
            <v>0</v>
          </cell>
          <cell r="BM9">
            <v>0</v>
          </cell>
          <cell r="BN9">
            <v>0</v>
          </cell>
          <cell r="BO9">
            <v>0</v>
          </cell>
          <cell r="BP9">
            <v>0</v>
          </cell>
          <cell r="BQ9">
            <v>0</v>
          </cell>
          <cell r="BR9">
            <v>0</v>
          </cell>
          <cell r="BS9">
            <v>0</v>
          </cell>
          <cell r="BT9">
            <v>0</v>
          </cell>
          <cell r="BU9">
            <v>0</v>
          </cell>
          <cell r="BV9">
            <v>0</v>
          </cell>
          <cell r="BW9">
            <v>0</v>
          </cell>
          <cell r="BX9">
            <v>179433</v>
          </cell>
          <cell r="BY9">
            <v>179433</v>
          </cell>
          <cell r="BZ9">
            <v>179433</v>
          </cell>
          <cell r="CA9">
            <v>179433</v>
          </cell>
          <cell r="CB9">
            <v>179433</v>
          </cell>
          <cell r="CC9">
            <v>179433</v>
          </cell>
          <cell r="CD9">
            <v>179433</v>
          </cell>
          <cell r="CE9">
            <v>179433</v>
          </cell>
          <cell r="CF9">
            <v>179433</v>
          </cell>
          <cell r="CG9">
            <v>179433</v>
          </cell>
          <cell r="CH9">
            <v>179433</v>
          </cell>
          <cell r="CI9">
            <v>179433</v>
          </cell>
          <cell r="CJ9">
            <v>335362</v>
          </cell>
          <cell r="CK9">
            <v>335362</v>
          </cell>
          <cell r="CL9">
            <v>335362</v>
          </cell>
          <cell r="CM9">
            <v>335362</v>
          </cell>
          <cell r="CN9">
            <v>335362</v>
          </cell>
          <cell r="CO9">
            <v>335362</v>
          </cell>
          <cell r="CP9">
            <v>335362</v>
          </cell>
          <cell r="CQ9">
            <v>335362</v>
          </cell>
          <cell r="CR9">
            <v>335362</v>
          </cell>
          <cell r="CS9">
            <v>335362</v>
          </cell>
          <cell r="CT9">
            <v>335362</v>
          </cell>
          <cell r="CU9">
            <v>335359</v>
          </cell>
          <cell r="CV9">
            <v>28739</v>
          </cell>
          <cell r="CW9">
            <v>28739</v>
          </cell>
          <cell r="CX9">
            <v>28739</v>
          </cell>
          <cell r="CY9">
            <v>28739</v>
          </cell>
          <cell r="CZ9">
            <v>28739</v>
          </cell>
          <cell r="DA9">
            <v>28739</v>
          </cell>
          <cell r="DB9">
            <v>28739</v>
          </cell>
          <cell r="DC9">
            <v>28739</v>
          </cell>
          <cell r="DD9">
            <v>28739</v>
          </cell>
          <cell r="DE9">
            <v>28739</v>
          </cell>
          <cell r="DF9">
            <v>28739</v>
          </cell>
          <cell r="DG9">
            <v>28741</v>
          </cell>
          <cell r="DH9">
            <v>344870</v>
          </cell>
        </row>
        <row r="10">
          <cell r="A10" t="str">
            <v>4073140</v>
          </cell>
          <cell r="B10" t="str">
            <v>4073140</v>
          </cell>
          <cell r="C10" t="str">
            <v>REG DR Def Cons Gas</v>
          </cell>
          <cell r="D10">
            <v>504151</v>
          </cell>
          <cell r="E10">
            <v>824850</v>
          </cell>
          <cell r="F10">
            <v>614473</v>
          </cell>
          <cell r="G10">
            <v>360330</v>
          </cell>
          <cell r="H10">
            <v>136686</v>
          </cell>
          <cell r="I10">
            <v>102776</v>
          </cell>
          <cell r="J10">
            <v>0</v>
          </cell>
          <cell r="K10">
            <v>0</v>
          </cell>
          <cell r="L10">
            <v>0</v>
          </cell>
          <cell r="M10">
            <v>0</v>
          </cell>
          <cell r="N10">
            <v>30078</v>
          </cell>
          <cell r="O10">
            <v>552794</v>
          </cell>
          <cell r="P10">
            <v>375692</v>
          </cell>
          <cell r="Q10">
            <v>842024</v>
          </cell>
          <cell r="R10">
            <v>591629</v>
          </cell>
          <cell r="S10">
            <v>449670</v>
          </cell>
          <cell r="T10">
            <v>0</v>
          </cell>
          <cell r="U10">
            <v>64343</v>
          </cell>
          <cell r="V10">
            <v>0</v>
          </cell>
          <cell r="W10">
            <v>0</v>
          </cell>
          <cell r="X10">
            <v>0</v>
          </cell>
          <cell r="Y10">
            <v>0</v>
          </cell>
          <cell r="Z10">
            <v>179226</v>
          </cell>
          <cell r="AA10">
            <v>396429</v>
          </cell>
          <cell r="AB10">
            <v>335438</v>
          </cell>
          <cell r="AC10">
            <v>586562</v>
          </cell>
          <cell r="AD10">
            <v>312201</v>
          </cell>
          <cell r="AE10">
            <v>271437</v>
          </cell>
          <cell r="AF10">
            <v>0</v>
          </cell>
          <cell r="AG10">
            <v>0</v>
          </cell>
          <cell r="AH10">
            <v>0</v>
          </cell>
          <cell r="AI10">
            <v>0</v>
          </cell>
          <cell r="AJ10">
            <v>0</v>
          </cell>
          <cell r="AK10">
            <v>0</v>
          </cell>
          <cell r="AL10">
            <v>156370</v>
          </cell>
          <cell r="AM10">
            <v>0</v>
          </cell>
          <cell r="AN10">
            <v>945491</v>
          </cell>
          <cell r="AO10">
            <v>534613</v>
          </cell>
          <cell r="AP10">
            <v>275023</v>
          </cell>
          <cell r="AQ10">
            <v>267436</v>
          </cell>
          <cell r="AR10">
            <v>0</v>
          </cell>
          <cell r="AS10">
            <v>0</v>
          </cell>
          <cell r="AT10">
            <v>0</v>
          </cell>
          <cell r="AU10">
            <v>0</v>
          </cell>
          <cell r="AV10">
            <v>0</v>
          </cell>
          <cell r="AW10">
            <v>0</v>
          </cell>
          <cell r="AX10">
            <v>0</v>
          </cell>
          <cell r="AY10">
            <v>126390</v>
          </cell>
          <cell r="AZ10">
            <v>720522</v>
          </cell>
          <cell r="BA10">
            <v>187450</v>
          </cell>
          <cell r="BB10">
            <v>0</v>
          </cell>
          <cell r="BC10">
            <v>0</v>
          </cell>
          <cell r="BD10">
            <v>73123</v>
          </cell>
          <cell r="BE10">
            <v>0</v>
          </cell>
          <cell r="BF10">
            <v>0</v>
          </cell>
          <cell r="BG10">
            <v>0</v>
          </cell>
          <cell r="BH10">
            <v>48580</v>
          </cell>
          <cell r="BI10">
            <v>0</v>
          </cell>
          <cell r="BJ10">
            <v>0</v>
          </cell>
          <cell r="BK10">
            <v>38871</v>
          </cell>
          <cell r="BL10">
            <v>287256</v>
          </cell>
          <cell r="BM10">
            <v>1211760</v>
          </cell>
          <cell r="BN10">
            <v>547925</v>
          </cell>
          <cell r="BO10">
            <v>129935</v>
          </cell>
          <cell r="BP10">
            <v>246320</v>
          </cell>
          <cell r="BQ10">
            <v>0</v>
          </cell>
          <cell r="BR10">
            <v>0</v>
          </cell>
          <cell r="BS10">
            <v>0</v>
          </cell>
          <cell r="BT10">
            <v>82058</v>
          </cell>
          <cell r="BU10">
            <v>0</v>
          </cell>
          <cell r="BV10">
            <v>0</v>
          </cell>
          <cell r="BW10">
            <v>313854</v>
          </cell>
          <cell r="BX10">
            <v>177286</v>
          </cell>
          <cell r="BY10">
            <v>691068</v>
          </cell>
          <cell r="BZ10">
            <v>609630</v>
          </cell>
          <cell r="CA10">
            <v>0</v>
          </cell>
          <cell r="CB10">
            <v>0</v>
          </cell>
          <cell r="CC10">
            <v>0</v>
          </cell>
          <cell r="CD10">
            <v>0</v>
          </cell>
          <cell r="CE10">
            <v>0</v>
          </cell>
          <cell r="CF10">
            <v>0</v>
          </cell>
          <cell r="CG10">
            <v>0</v>
          </cell>
          <cell r="CH10">
            <v>0</v>
          </cell>
          <cell r="CI10">
            <v>157880</v>
          </cell>
          <cell r="CJ10">
            <v>899651</v>
          </cell>
          <cell r="CK10">
            <v>143341</v>
          </cell>
          <cell r="CL10">
            <v>71595</v>
          </cell>
          <cell r="CM10">
            <v>190638</v>
          </cell>
          <cell r="CN10">
            <v>10003</v>
          </cell>
          <cell r="CO10">
            <v>0</v>
          </cell>
          <cell r="CP10">
            <v>0</v>
          </cell>
          <cell r="CQ10">
            <v>53608</v>
          </cell>
          <cell r="CR10">
            <v>0</v>
          </cell>
          <cell r="CS10">
            <v>0</v>
          </cell>
          <cell r="CT10">
            <v>0</v>
          </cell>
          <cell r="CU10">
            <v>111245</v>
          </cell>
          <cell r="CV10">
            <v>878881</v>
          </cell>
          <cell r="CW10">
            <v>1403738</v>
          </cell>
          <cell r="CX10">
            <v>0</v>
          </cell>
          <cell r="CY10">
            <v>541566</v>
          </cell>
          <cell r="CZ10">
            <v>485549</v>
          </cell>
          <cell r="DA10">
            <v>704037</v>
          </cell>
          <cell r="DB10">
            <v>0</v>
          </cell>
          <cell r="DC10">
            <v>0</v>
          </cell>
          <cell r="DD10">
            <v>0</v>
          </cell>
          <cell r="DE10">
            <v>0</v>
          </cell>
          <cell r="DF10">
            <v>0</v>
          </cell>
          <cell r="DG10">
            <v>0</v>
          </cell>
          <cell r="DH10">
            <v>4013771</v>
          </cell>
        </row>
        <row r="11">
          <cell r="A11" t="str">
            <v>4073141</v>
          </cell>
          <cell r="B11" t="str">
            <v>4073141</v>
          </cell>
          <cell r="C11" t="str">
            <v>REG DR Cnsv Amtz Gas</v>
          </cell>
          <cell r="AN11">
            <v>15801</v>
          </cell>
          <cell r="AO11">
            <v>15801</v>
          </cell>
          <cell r="AP11">
            <v>15801</v>
          </cell>
          <cell r="AQ11">
            <v>15801</v>
          </cell>
          <cell r="AR11">
            <v>15801</v>
          </cell>
          <cell r="AS11">
            <v>15801</v>
          </cell>
          <cell r="AT11">
            <v>15801</v>
          </cell>
          <cell r="AU11">
            <v>15801</v>
          </cell>
          <cell r="AV11">
            <v>15801</v>
          </cell>
          <cell r="AW11">
            <v>15801</v>
          </cell>
          <cell r="AX11">
            <v>15801</v>
          </cell>
          <cell r="AY11">
            <v>15801</v>
          </cell>
          <cell r="AZ11">
            <v>181164</v>
          </cell>
          <cell r="BA11">
            <v>181164</v>
          </cell>
          <cell r="BB11">
            <v>181164</v>
          </cell>
          <cell r="BC11">
            <v>181164</v>
          </cell>
          <cell r="BD11">
            <v>181164</v>
          </cell>
          <cell r="BE11">
            <v>181164</v>
          </cell>
          <cell r="BF11">
            <v>181164</v>
          </cell>
          <cell r="BG11">
            <v>181164</v>
          </cell>
          <cell r="BH11">
            <v>181164</v>
          </cell>
          <cell r="BI11">
            <v>181164</v>
          </cell>
          <cell r="BJ11">
            <v>181164</v>
          </cell>
          <cell r="BK11">
            <v>181163</v>
          </cell>
          <cell r="BL11">
            <v>119556</v>
          </cell>
          <cell r="BM11">
            <v>119556</v>
          </cell>
          <cell r="BN11">
            <v>119556</v>
          </cell>
          <cell r="BO11">
            <v>119556</v>
          </cell>
          <cell r="BP11">
            <v>119556</v>
          </cell>
          <cell r="BQ11">
            <v>119556</v>
          </cell>
          <cell r="BR11">
            <v>119556</v>
          </cell>
          <cell r="BS11">
            <v>119556</v>
          </cell>
          <cell r="BT11">
            <v>119556</v>
          </cell>
          <cell r="BU11">
            <v>119556</v>
          </cell>
          <cell r="BV11">
            <v>119556</v>
          </cell>
          <cell r="BW11">
            <v>119550</v>
          </cell>
          <cell r="BX11">
            <v>229896</v>
          </cell>
          <cell r="BY11">
            <v>229896</v>
          </cell>
          <cell r="BZ11">
            <v>229896</v>
          </cell>
          <cell r="CA11">
            <v>229896</v>
          </cell>
          <cell r="CB11">
            <v>229896</v>
          </cell>
          <cell r="CC11">
            <v>229896</v>
          </cell>
          <cell r="CD11">
            <v>229896</v>
          </cell>
          <cell r="CE11">
            <v>229896</v>
          </cell>
          <cell r="CF11">
            <v>229896</v>
          </cell>
          <cell r="CG11">
            <v>229896</v>
          </cell>
          <cell r="CH11">
            <v>229896</v>
          </cell>
          <cell r="CI11">
            <v>229891</v>
          </cell>
          <cell r="CJ11">
            <v>95892</v>
          </cell>
          <cell r="CK11">
            <v>95892</v>
          </cell>
          <cell r="CL11">
            <v>95892</v>
          </cell>
          <cell r="CM11">
            <v>95892</v>
          </cell>
          <cell r="CN11">
            <v>95892</v>
          </cell>
          <cell r="CO11">
            <v>95892</v>
          </cell>
          <cell r="CP11">
            <v>95892</v>
          </cell>
          <cell r="CQ11">
            <v>95892</v>
          </cell>
          <cell r="CR11">
            <v>95892</v>
          </cell>
          <cell r="CS11">
            <v>95892</v>
          </cell>
          <cell r="CT11">
            <v>95892</v>
          </cell>
          <cell r="CU11">
            <v>95886</v>
          </cell>
          <cell r="CV11">
            <v>234232</v>
          </cell>
          <cell r="CW11">
            <v>234232</v>
          </cell>
          <cell r="CX11">
            <v>234232</v>
          </cell>
          <cell r="CY11">
            <v>234232</v>
          </cell>
          <cell r="CZ11">
            <v>234232</v>
          </cell>
          <cell r="DA11">
            <v>234232</v>
          </cell>
          <cell r="DB11">
            <v>234232</v>
          </cell>
          <cell r="DC11">
            <v>234232</v>
          </cell>
          <cell r="DD11">
            <v>234232</v>
          </cell>
          <cell r="DE11">
            <v>234232</v>
          </cell>
          <cell r="DF11">
            <v>234232</v>
          </cell>
          <cell r="DG11">
            <v>234226</v>
          </cell>
          <cell r="DH11">
            <v>2810778</v>
          </cell>
        </row>
        <row r="12">
          <cell r="A12" t="str">
            <v>4074060</v>
          </cell>
          <cell r="B12" t="str">
            <v>4074060</v>
          </cell>
          <cell r="C12" t="str">
            <v>REG CR Def PGA</v>
          </cell>
          <cell r="P12">
            <v>0</v>
          </cell>
          <cell r="Q12">
            <v>-425567</v>
          </cell>
          <cell r="R12">
            <v>0</v>
          </cell>
          <cell r="S12">
            <v>-1620786</v>
          </cell>
          <cell r="T12">
            <v>-444631</v>
          </cell>
          <cell r="U12">
            <v>0</v>
          </cell>
          <cell r="V12">
            <v>-1162761</v>
          </cell>
          <cell r="W12">
            <v>-3</v>
          </cell>
          <cell r="X12">
            <v>-370308</v>
          </cell>
          <cell r="Y12">
            <v>-2364559</v>
          </cell>
          <cell r="Z12">
            <v>-2263247</v>
          </cell>
          <cell r="AA12">
            <v>-198332.01</v>
          </cell>
          <cell r="AB12">
            <v>0</v>
          </cell>
          <cell r="AC12">
            <v>0</v>
          </cell>
          <cell r="AD12">
            <v>0</v>
          </cell>
          <cell r="AE12">
            <v>0</v>
          </cell>
          <cell r="AF12">
            <v>0</v>
          </cell>
          <cell r="AG12">
            <v>0</v>
          </cell>
          <cell r="AH12">
            <v>0</v>
          </cell>
          <cell r="AI12">
            <v>0</v>
          </cell>
          <cell r="AJ12">
            <v>-473339</v>
          </cell>
          <cell r="AK12">
            <v>-2673097</v>
          </cell>
          <cell r="AL12">
            <v>-2821449</v>
          </cell>
          <cell r="AM12">
            <v>-414714.06</v>
          </cell>
          <cell r="AN12">
            <v>0</v>
          </cell>
          <cell r="AO12">
            <v>0</v>
          </cell>
          <cell r="AP12">
            <v>-3422244</v>
          </cell>
          <cell r="AQ12">
            <v>0</v>
          </cell>
          <cell r="AR12">
            <v>0</v>
          </cell>
          <cell r="AS12">
            <v>-837443</v>
          </cell>
          <cell r="AT12">
            <v>-1098212</v>
          </cell>
          <cell r="AU12">
            <v>-1113145</v>
          </cell>
          <cell r="AV12">
            <v>0</v>
          </cell>
          <cell r="AW12">
            <v>-3327711</v>
          </cell>
          <cell r="AX12">
            <v>-1118927</v>
          </cell>
          <cell r="AY12">
            <v>0</v>
          </cell>
          <cell r="AZ12">
            <v>0</v>
          </cell>
          <cell r="BA12">
            <v>0</v>
          </cell>
          <cell r="BB12">
            <v>-2979909</v>
          </cell>
          <cell r="BC12">
            <v>0</v>
          </cell>
          <cell r="BD12">
            <v>-429410</v>
          </cell>
          <cell r="BE12">
            <v>0</v>
          </cell>
          <cell r="BF12">
            <v>-167319</v>
          </cell>
          <cell r="BG12">
            <v>-714468</v>
          </cell>
          <cell r="BH12">
            <v>0</v>
          </cell>
          <cell r="BI12">
            <v>-3378428</v>
          </cell>
          <cell r="BJ12">
            <v>-6614016</v>
          </cell>
          <cell r="BK12">
            <v>-3537698.72</v>
          </cell>
          <cell r="BL12">
            <v>0</v>
          </cell>
          <cell r="BM12">
            <v>0</v>
          </cell>
          <cell r="BN12">
            <v>0</v>
          </cell>
          <cell r="BO12">
            <v>0</v>
          </cell>
          <cell r="BP12">
            <v>0</v>
          </cell>
          <cell r="BQ12">
            <v>0</v>
          </cell>
          <cell r="BR12">
            <v>0</v>
          </cell>
          <cell r="BS12">
            <v>-1387481</v>
          </cell>
          <cell r="BT12">
            <v>0</v>
          </cell>
          <cell r="BU12">
            <v>-2443733</v>
          </cell>
          <cell r="BV12">
            <v>-2146784</v>
          </cell>
          <cell r="BW12">
            <v>0</v>
          </cell>
          <cell r="BX12">
            <v>0</v>
          </cell>
          <cell r="BY12">
            <v>0</v>
          </cell>
          <cell r="BZ12">
            <v>0</v>
          </cell>
          <cell r="CA12">
            <v>0</v>
          </cell>
          <cell r="CB12">
            <v>-389749</v>
          </cell>
          <cell r="CC12">
            <v>0</v>
          </cell>
          <cell r="CD12">
            <v>-437706</v>
          </cell>
          <cell r="CE12">
            <v>-2362539</v>
          </cell>
          <cell r="CF12">
            <v>-657410</v>
          </cell>
          <cell r="CG12">
            <v>-3869236</v>
          </cell>
          <cell r="CH12">
            <v>-3349085</v>
          </cell>
          <cell r="CI12">
            <v>-638028.97</v>
          </cell>
          <cell r="CJ12">
            <v>0</v>
          </cell>
          <cell r="CK12">
            <v>-2433807</v>
          </cell>
          <cell r="CL12">
            <v>-1199460</v>
          </cell>
          <cell r="CM12">
            <v>0</v>
          </cell>
          <cell r="CN12">
            <v>0</v>
          </cell>
          <cell r="CO12">
            <v>-676221</v>
          </cell>
          <cell r="CP12">
            <v>0</v>
          </cell>
          <cell r="CQ12">
            <v>-903569</v>
          </cell>
          <cell r="CR12">
            <v>-1398453</v>
          </cell>
          <cell r="CS12">
            <v>-7609249</v>
          </cell>
          <cell r="CT12">
            <v>-7684861</v>
          </cell>
          <cell r="CU12">
            <v>0</v>
          </cell>
          <cell r="CV12">
            <v>0</v>
          </cell>
          <cell r="CW12">
            <v>0</v>
          </cell>
          <cell r="CX12">
            <v>-1265268</v>
          </cell>
          <cell r="CY12">
            <v>-803495</v>
          </cell>
          <cell r="CZ12">
            <v>-2238525</v>
          </cell>
          <cell r="DA12">
            <v>-345223</v>
          </cell>
          <cell r="DB12">
            <v>0</v>
          </cell>
          <cell r="DC12">
            <v>0</v>
          </cell>
          <cell r="DD12">
            <v>0</v>
          </cell>
          <cell r="DE12">
            <v>0</v>
          </cell>
          <cell r="DF12">
            <v>-10616934</v>
          </cell>
          <cell r="DG12">
            <v>-6128598</v>
          </cell>
          <cell r="DH12">
            <v>-21398043</v>
          </cell>
        </row>
        <row r="13">
          <cell r="A13" t="str">
            <v>4074061</v>
          </cell>
          <cell r="B13" t="str">
            <v>4074061</v>
          </cell>
          <cell r="C13" t="str">
            <v>REG CR Def PGA Amtz</v>
          </cell>
          <cell r="D13">
            <v>-603</v>
          </cell>
          <cell r="E13">
            <v>-603</v>
          </cell>
          <cell r="F13">
            <v>-603</v>
          </cell>
          <cell r="G13">
            <v>-603</v>
          </cell>
          <cell r="H13">
            <v>-603</v>
          </cell>
          <cell r="I13">
            <v>-603</v>
          </cell>
          <cell r="J13">
            <v>-603</v>
          </cell>
          <cell r="K13">
            <v>-603</v>
          </cell>
          <cell r="L13">
            <v>-603</v>
          </cell>
          <cell r="M13">
            <v>-603</v>
          </cell>
          <cell r="N13">
            <v>-603</v>
          </cell>
          <cell r="O13">
            <v>-603</v>
          </cell>
          <cell r="P13">
            <v>-51648</v>
          </cell>
          <cell r="Q13">
            <v>-51648</v>
          </cell>
          <cell r="R13">
            <v>-51648</v>
          </cell>
          <cell r="S13">
            <v>-51648</v>
          </cell>
          <cell r="T13">
            <v>-51648</v>
          </cell>
          <cell r="U13">
            <v>-51648</v>
          </cell>
          <cell r="V13">
            <v>-51648</v>
          </cell>
          <cell r="W13">
            <v>-51648</v>
          </cell>
          <cell r="X13">
            <v>-51648</v>
          </cell>
          <cell r="Y13">
            <v>-51648</v>
          </cell>
          <cell r="Z13">
            <v>-51648</v>
          </cell>
          <cell r="AA13">
            <v>-51642</v>
          </cell>
          <cell r="AB13">
            <v>-67872</v>
          </cell>
          <cell r="AC13">
            <v>-67872</v>
          </cell>
          <cell r="AD13">
            <v>-67872</v>
          </cell>
          <cell r="AE13">
            <v>-67872</v>
          </cell>
          <cell r="AF13">
            <v>-67872</v>
          </cell>
          <cell r="AG13">
            <v>-67872</v>
          </cell>
          <cell r="AH13">
            <v>-67872</v>
          </cell>
          <cell r="AI13">
            <v>-67872</v>
          </cell>
          <cell r="AJ13">
            <v>-67872</v>
          </cell>
          <cell r="AK13">
            <v>-67872</v>
          </cell>
          <cell r="AL13">
            <v>-67872</v>
          </cell>
          <cell r="AM13">
            <v>-67866</v>
          </cell>
          <cell r="AN13">
            <v>-90557</v>
          </cell>
          <cell r="AO13">
            <v>-90557</v>
          </cell>
          <cell r="AP13">
            <v>-90557</v>
          </cell>
          <cell r="AQ13">
            <v>-90557</v>
          </cell>
          <cell r="AR13">
            <v>-90557</v>
          </cell>
          <cell r="AS13">
            <v>-90557</v>
          </cell>
          <cell r="AT13">
            <v>-90557</v>
          </cell>
          <cell r="AU13">
            <v>-90557</v>
          </cell>
          <cell r="AV13">
            <v>-90557</v>
          </cell>
          <cell r="AW13">
            <v>-90557</v>
          </cell>
          <cell r="AX13">
            <v>-90557</v>
          </cell>
          <cell r="AY13">
            <v>-90558</v>
          </cell>
          <cell r="AZ13">
            <v>0</v>
          </cell>
          <cell r="BA13">
            <v>0</v>
          </cell>
          <cell r="BB13">
            <v>0</v>
          </cell>
          <cell r="BC13">
            <v>0</v>
          </cell>
          <cell r="BD13">
            <v>0</v>
          </cell>
          <cell r="BE13">
            <v>0</v>
          </cell>
          <cell r="BF13">
            <v>0</v>
          </cell>
          <cell r="BG13">
            <v>0</v>
          </cell>
          <cell r="BH13">
            <v>0</v>
          </cell>
          <cell r="BI13">
            <v>0</v>
          </cell>
          <cell r="BJ13">
            <v>0</v>
          </cell>
          <cell r="BK13">
            <v>0</v>
          </cell>
          <cell r="BL13">
            <v>-188849</v>
          </cell>
          <cell r="BM13">
            <v>-188849</v>
          </cell>
          <cell r="BN13">
            <v>-188849</v>
          </cell>
          <cell r="BO13">
            <v>-188849</v>
          </cell>
          <cell r="BP13">
            <v>-188849</v>
          </cell>
          <cell r="BQ13">
            <v>-188849</v>
          </cell>
          <cell r="BR13">
            <v>-188849</v>
          </cell>
          <cell r="BS13">
            <v>-188849</v>
          </cell>
          <cell r="BT13">
            <v>-188849</v>
          </cell>
          <cell r="BU13">
            <v>-188849</v>
          </cell>
          <cell r="BV13">
            <v>-188849</v>
          </cell>
          <cell r="BW13">
            <v>-188844</v>
          </cell>
          <cell r="BX13">
            <v>-147158</v>
          </cell>
          <cell r="BY13">
            <v>-147158</v>
          </cell>
          <cell r="BZ13">
            <v>-147158</v>
          </cell>
          <cell r="CA13">
            <v>-147158</v>
          </cell>
          <cell r="CB13">
            <v>-147158</v>
          </cell>
          <cell r="CC13">
            <v>-147158</v>
          </cell>
          <cell r="CD13">
            <v>-147158</v>
          </cell>
          <cell r="CE13">
            <v>-147158</v>
          </cell>
          <cell r="CF13">
            <v>-147158</v>
          </cell>
          <cell r="CG13">
            <v>-147158</v>
          </cell>
          <cell r="CH13">
            <v>-147158</v>
          </cell>
          <cell r="CI13">
            <v>-147162</v>
          </cell>
          <cell r="CJ13">
            <v>-107304</v>
          </cell>
          <cell r="CK13">
            <v>-107304</v>
          </cell>
          <cell r="CL13">
            <v>-107304</v>
          </cell>
          <cell r="CM13">
            <v>-107304</v>
          </cell>
          <cell r="CN13">
            <v>-107304</v>
          </cell>
          <cell r="CO13">
            <v>-107304</v>
          </cell>
          <cell r="CP13">
            <v>-107304</v>
          </cell>
          <cell r="CQ13">
            <v>-107304</v>
          </cell>
          <cell r="CR13">
            <v>-107304</v>
          </cell>
          <cell r="CS13">
            <v>-107304</v>
          </cell>
          <cell r="CT13">
            <v>-107304</v>
          </cell>
          <cell r="CU13">
            <v>-107299</v>
          </cell>
          <cell r="CV13">
            <v>0</v>
          </cell>
          <cell r="CW13">
            <v>0</v>
          </cell>
          <cell r="CX13">
            <v>0</v>
          </cell>
          <cell r="CY13">
            <v>0</v>
          </cell>
          <cell r="CZ13">
            <v>0</v>
          </cell>
          <cell r="DA13">
            <v>0</v>
          </cell>
          <cell r="DB13">
            <v>0</v>
          </cell>
          <cell r="DC13">
            <v>0</v>
          </cell>
          <cell r="DD13">
            <v>0</v>
          </cell>
          <cell r="DE13">
            <v>0</v>
          </cell>
          <cell r="DF13">
            <v>0</v>
          </cell>
          <cell r="DG13">
            <v>0</v>
          </cell>
          <cell r="DH13">
            <v>0</v>
          </cell>
        </row>
        <row r="14">
          <cell r="A14" t="str">
            <v>4074071</v>
          </cell>
          <cell r="B14" t="str">
            <v>4074071</v>
          </cell>
          <cell r="C14" t="str">
            <v>REG CR CI/BSR Rider</v>
          </cell>
          <cell r="D14">
            <v>-449</v>
          </cell>
          <cell r="E14">
            <v>0</v>
          </cell>
          <cell r="F14">
            <v>0</v>
          </cell>
          <cell r="G14">
            <v>120</v>
          </cell>
          <cell r="H14">
            <v>0</v>
          </cell>
          <cell r="I14">
            <v>-16168</v>
          </cell>
          <cell r="J14">
            <v>-39326</v>
          </cell>
          <cell r="K14">
            <v>-64938</v>
          </cell>
          <cell r="L14">
            <v>-69921</v>
          </cell>
          <cell r="M14">
            <v>-78854</v>
          </cell>
          <cell r="N14">
            <v>-71943</v>
          </cell>
          <cell r="O14">
            <v>-30478</v>
          </cell>
          <cell r="P14">
            <v>-322</v>
          </cell>
          <cell r="Q14">
            <v>0</v>
          </cell>
          <cell r="R14">
            <v>0</v>
          </cell>
          <cell r="S14">
            <v>0</v>
          </cell>
          <cell r="T14">
            <v>-48410.36</v>
          </cell>
          <cell r="U14">
            <v>-53010.63</v>
          </cell>
          <cell r="V14">
            <v>-85048.69</v>
          </cell>
          <cell r="W14">
            <v>-88295.52</v>
          </cell>
          <cell r="X14">
            <v>-102172.72</v>
          </cell>
          <cell r="Y14">
            <v>-103060.91</v>
          </cell>
          <cell r="Z14">
            <v>-91061.32</v>
          </cell>
          <cell r="AA14">
            <v>-61046.91</v>
          </cell>
          <cell r="AB14">
            <v>-436</v>
          </cell>
          <cell r="AC14">
            <v>0</v>
          </cell>
          <cell r="AD14">
            <v>0</v>
          </cell>
          <cell r="AE14">
            <v>0</v>
          </cell>
          <cell r="AF14">
            <v>-27493</v>
          </cell>
          <cell r="AG14">
            <v>-74489</v>
          </cell>
          <cell r="AH14">
            <v>-102321</v>
          </cell>
          <cell r="AI14">
            <v>-137545</v>
          </cell>
          <cell r="AJ14">
            <v>-124338</v>
          </cell>
          <cell r="AK14">
            <v>-176440</v>
          </cell>
          <cell r="AL14">
            <v>-128508</v>
          </cell>
          <cell r="AM14">
            <v>138494</v>
          </cell>
          <cell r="AN14">
            <v>-59322</v>
          </cell>
          <cell r="AO14">
            <v>-45253</v>
          </cell>
          <cell r="AP14">
            <v>-109905</v>
          </cell>
          <cell r="AQ14">
            <v>-137919</v>
          </cell>
          <cell r="AR14">
            <v>-214731</v>
          </cell>
          <cell r="AS14">
            <v>-259250</v>
          </cell>
          <cell r="AT14">
            <v>-295998</v>
          </cell>
          <cell r="AU14">
            <v>-316710</v>
          </cell>
          <cell r="AV14">
            <v>-298228</v>
          </cell>
          <cell r="AW14">
            <v>-353946</v>
          </cell>
          <cell r="AX14">
            <v>-315658</v>
          </cell>
          <cell r="AY14">
            <v>-337518</v>
          </cell>
          <cell r="AZ14">
            <v>0</v>
          </cell>
          <cell r="BA14">
            <v>0</v>
          </cell>
          <cell r="BB14">
            <v>0</v>
          </cell>
          <cell r="BC14">
            <v>0</v>
          </cell>
          <cell r="BD14">
            <v>0</v>
          </cell>
          <cell r="BE14">
            <v>-30851</v>
          </cell>
          <cell r="BF14">
            <v>-136031</v>
          </cell>
          <cell r="BG14">
            <v>-178782</v>
          </cell>
          <cell r="BH14">
            <v>-148132</v>
          </cell>
          <cell r="BI14">
            <v>-259413</v>
          </cell>
          <cell r="BJ14">
            <v>-216793</v>
          </cell>
          <cell r="BK14">
            <v>-7586</v>
          </cell>
          <cell r="BL14">
            <v>0</v>
          </cell>
          <cell r="BM14">
            <v>-55071</v>
          </cell>
          <cell r="BN14">
            <v>0</v>
          </cell>
          <cell r="BO14">
            <v>0</v>
          </cell>
          <cell r="BP14">
            <v>-117401</v>
          </cell>
          <cell r="BQ14">
            <v>-275453</v>
          </cell>
          <cell r="BR14">
            <v>-346744</v>
          </cell>
          <cell r="BS14">
            <v>-389234</v>
          </cell>
          <cell r="BT14">
            <v>-398114</v>
          </cell>
          <cell r="BU14">
            <v>-386221</v>
          </cell>
          <cell r="BV14">
            <v>-370016</v>
          </cell>
          <cell r="BW14">
            <v>-399518</v>
          </cell>
          <cell r="BX14">
            <v>0</v>
          </cell>
          <cell r="BY14">
            <v>0</v>
          </cell>
          <cell r="BZ14">
            <v>0</v>
          </cell>
          <cell r="CA14">
            <v>-280180</v>
          </cell>
          <cell r="CB14">
            <v>-459211</v>
          </cell>
          <cell r="CC14">
            <v>-484349</v>
          </cell>
          <cell r="CD14">
            <v>-616565</v>
          </cell>
          <cell r="CE14">
            <v>-651473</v>
          </cell>
          <cell r="CF14">
            <v>-688199</v>
          </cell>
          <cell r="CG14">
            <v>-636298</v>
          </cell>
          <cell r="CH14">
            <v>-473631</v>
          </cell>
          <cell r="CI14">
            <v>-115872</v>
          </cell>
          <cell r="CJ14">
            <v>0</v>
          </cell>
          <cell r="CK14">
            <v>0</v>
          </cell>
          <cell r="CL14">
            <v>0</v>
          </cell>
          <cell r="CM14">
            <v>0</v>
          </cell>
          <cell r="CN14">
            <v>-8166</v>
          </cell>
          <cell r="CO14">
            <v>-53038</v>
          </cell>
          <cell r="CP14">
            <v>-83304</v>
          </cell>
          <cell r="CQ14">
            <v>-133213</v>
          </cell>
          <cell r="CR14">
            <v>-129123</v>
          </cell>
          <cell r="CS14">
            <v>-168064</v>
          </cell>
          <cell r="CT14">
            <v>-138930</v>
          </cell>
          <cell r="CU14">
            <v>-61927</v>
          </cell>
          <cell r="CV14">
            <v>0</v>
          </cell>
          <cell r="CW14">
            <v>0</v>
          </cell>
          <cell r="CX14">
            <v>0</v>
          </cell>
          <cell r="CY14">
            <v>0</v>
          </cell>
          <cell r="CZ14">
            <v>-19463</v>
          </cell>
          <cell r="DA14">
            <v>-85175</v>
          </cell>
          <cell r="DB14">
            <v>-129179</v>
          </cell>
          <cell r="DC14">
            <v>-152449</v>
          </cell>
          <cell r="DD14">
            <v>-153110</v>
          </cell>
          <cell r="DE14">
            <v>-135564</v>
          </cell>
          <cell r="DF14">
            <v>-126151</v>
          </cell>
          <cell r="DG14">
            <v>-71532</v>
          </cell>
          <cell r="DH14">
            <v>-872623</v>
          </cell>
        </row>
        <row r="15">
          <cell r="A15" t="str">
            <v>4074072</v>
          </cell>
          <cell r="B15" t="str">
            <v>4074072</v>
          </cell>
          <cell r="C15" t="str">
            <v>REG CR Def CIBSR Amt</v>
          </cell>
          <cell r="BL15">
            <v>-119764</v>
          </cell>
          <cell r="BM15">
            <v>-119764</v>
          </cell>
          <cell r="BN15">
            <v>-119764</v>
          </cell>
          <cell r="BO15">
            <v>-119764</v>
          </cell>
          <cell r="BP15">
            <v>-119764</v>
          </cell>
          <cell r="BQ15">
            <v>-119764</v>
          </cell>
          <cell r="BR15">
            <v>-119764</v>
          </cell>
          <cell r="BS15">
            <v>-119764</v>
          </cell>
          <cell r="BT15">
            <v>-119764</v>
          </cell>
          <cell r="BU15">
            <v>-119764</v>
          </cell>
          <cell r="BV15">
            <v>-119764</v>
          </cell>
          <cell r="BW15">
            <v>-119760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row>
        <row r="16">
          <cell r="A16" t="str">
            <v>4074140</v>
          </cell>
          <cell r="B16" t="str">
            <v>4074140</v>
          </cell>
          <cell r="C16" t="str">
            <v>REG CR Def Cons Gas</v>
          </cell>
          <cell r="D16">
            <v>0</v>
          </cell>
          <cell r="E16">
            <v>0</v>
          </cell>
          <cell r="F16">
            <v>0</v>
          </cell>
          <cell r="G16">
            <v>0</v>
          </cell>
          <cell r="H16">
            <v>0</v>
          </cell>
          <cell r="I16">
            <v>0</v>
          </cell>
          <cell r="J16">
            <v>-512011</v>
          </cell>
          <cell r="K16">
            <v>-202925</v>
          </cell>
          <cell r="L16">
            <v>-291582</v>
          </cell>
          <cell r="M16">
            <v>-108285</v>
          </cell>
          <cell r="N16">
            <v>0</v>
          </cell>
          <cell r="O16">
            <v>0</v>
          </cell>
          <cell r="P16">
            <v>0</v>
          </cell>
          <cell r="Q16">
            <v>0</v>
          </cell>
          <cell r="R16">
            <v>0</v>
          </cell>
          <cell r="S16">
            <v>0</v>
          </cell>
          <cell r="T16">
            <v>-65065</v>
          </cell>
          <cell r="U16">
            <v>0</v>
          </cell>
          <cell r="V16">
            <v>-19797</v>
          </cell>
          <cell r="W16">
            <v>-208974</v>
          </cell>
          <cell r="X16">
            <v>-90502</v>
          </cell>
          <cell r="Y16">
            <v>-380393</v>
          </cell>
          <cell r="Z16">
            <v>0</v>
          </cell>
          <cell r="AA16">
            <v>0</v>
          </cell>
          <cell r="AB16">
            <v>0</v>
          </cell>
          <cell r="AC16">
            <v>0</v>
          </cell>
          <cell r="AD16">
            <v>0</v>
          </cell>
          <cell r="AE16">
            <v>0</v>
          </cell>
          <cell r="AF16">
            <v>-144189</v>
          </cell>
          <cell r="AG16">
            <v>-195014</v>
          </cell>
          <cell r="AH16">
            <v>-128184</v>
          </cell>
          <cell r="AI16">
            <v>-619807</v>
          </cell>
          <cell r="AJ16">
            <v>-41764</v>
          </cell>
          <cell r="AK16">
            <v>-427683</v>
          </cell>
          <cell r="AL16">
            <v>0</v>
          </cell>
          <cell r="AM16">
            <v>-302247</v>
          </cell>
          <cell r="AN16">
            <v>0</v>
          </cell>
          <cell r="AO16">
            <v>0</v>
          </cell>
          <cell r="AP16">
            <v>0</v>
          </cell>
          <cell r="AQ16">
            <v>0</v>
          </cell>
          <cell r="AR16">
            <v>-454094</v>
          </cell>
          <cell r="AS16">
            <v>-640424</v>
          </cell>
          <cell r="AT16">
            <v>-672190</v>
          </cell>
          <cell r="AU16">
            <v>-842391</v>
          </cell>
          <cell r="AV16">
            <v>-414828</v>
          </cell>
          <cell r="AW16">
            <v>-1213757</v>
          </cell>
          <cell r="AX16">
            <v>-407876</v>
          </cell>
          <cell r="AY16">
            <v>0</v>
          </cell>
          <cell r="AZ16">
            <v>0</v>
          </cell>
          <cell r="BA16">
            <v>0</v>
          </cell>
          <cell r="BB16">
            <v>-472880</v>
          </cell>
          <cell r="BC16">
            <v>-1178357</v>
          </cell>
          <cell r="BD16">
            <v>0</v>
          </cell>
          <cell r="BE16">
            <v>-111104</v>
          </cell>
          <cell r="BF16">
            <v>-1268349</v>
          </cell>
          <cell r="BG16">
            <v>-712465</v>
          </cell>
          <cell r="BH16">
            <v>0</v>
          </cell>
          <cell r="BI16">
            <v>-1217780</v>
          </cell>
          <cell r="BJ16">
            <v>-51668</v>
          </cell>
          <cell r="BK16">
            <v>0</v>
          </cell>
          <cell r="BL16">
            <v>0</v>
          </cell>
          <cell r="BM16">
            <v>0</v>
          </cell>
          <cell r="BN16">
            <v>0</v>
          </cell>
          <cell r="BO16">
            <v>0</v>
          </cell>
          <cell r="BP16">
            <v>0</v>
          </cell>
          <cell r="BQ16">
            <v>-677865</v>
          </cell>
          <cell r="BR16">
            <v>-1098139</v>
          </cell>
          <cell r="BS16">
            <v>-356143</v>
          </cell>
          <cell r="BT16">
            <v>0</v>
          </cell>
          <cell r="BU16">
            <v>-563046</v>
          </cell>
          <cell r="BV16">
            <v>-209982</v>
          </cell>
          <cell r="BW16">
            <v>0</v>
          </cell>
          <cell r="BX16">
            <v>0</v>
          </cell>
          <cell r="BY16">
            <v>0</v>
          </cell>
          <cell r="BZ16">
            <v>0</v>
          </cell>
          <cell r="CA16">
            <v>-260945</v>
          </cell>
          <cell r="CB16">
            <v>-254313</v>
          </cell>
          <cell r="CC16">
            <v>-315452</v>
          </cell>
          <cell r="CD16">
            <v>-263835</v>
          </cell>
          <cell r="CE16">
            <v>-496526</v>
          </cell>
          <cell r="CF16">
            <v>-790149</v>
          </cell>
          <cell r="CG16">
            <v>-903910</v>
          </cell>
          <cell r="CH16">
            <v>-133416</v>
          </cell>
          <cell r="CI16">
            <v>0</v>
          </cell>
          <cell r="CJ16">
            <v>0</v>
          </cell>
          <cell r="CK16">
            <v>0</v>
          </cell>
          <cell r="CL16">
            <v>0</v>
          </cell>
          <cell r="CM16">
            <v>1900</v>
          </cell>
          <cell r="CN16">
            <v>0</v>
          </cell>
          <cell r="CO16">
            <v>-12226</v>
          </cell>
          <cell r="CP16">
            <v>-300183</v>
          </cell>
          <cell r="CQ16">
            <v>0</v>
          </cell>
          <cell r="CR16">
            <v>-504358</v>
          </cell>
          <cell r="CS16">
            <v>-391595</v>
          </cell>
          <cell r="CT16">
            <v>-140516</v>
          </cell>
          <cell r="CU16">
            <v>0</v>
          </cell>
          <cell r="CV16">
            <v>0</v>
          </cell>
          <cell r="CW16">
            <v>0</v>
          </cell>
          <cell r="CX16">
            <v>-627335</v>
          </cell>
          <cell r="CY16">
            <v>0</v>
          </cell>
          <cell r="CZ16">
            <v>0</v>
          </cell>
          <cell r="DA16">
            <v>0</v>
          </cell>
          <cell r="DB16">
            <v>-1622951</v>
          </cell>
          <cell r="DC16">
            <v>-525365</v>
          </cell>
          <cell r="DD16">
            <v>-891790</v>
          </cell>
          <cell r="DE16">
            <v>-480159</v>
          </cell>
          <cell r="DF16">
            <v>-470477</v>
          </cell>
          <cell r="DG16">
            <v>-96049</v>
          </cell>
          <cell r="DH16">
            <v>-4714126</v>
          </cell>
        </row>
        <row r="17">
          <cell r="A17" t="str">
            <v>4074141</v>
          </cell>
          <cell r="B17" t="str">
            <v>4074141</v>
          </cell>
          <cell r="C17" t="str">
            <v>REG CR Cnsv Amtz Gas</v>
          </cell>
          <cell r="P17">
            <v>-25795</v>
          </cell>
          <cell r="Q17">
            <v>-25795</v>
          </cell>
          <cell r="R17">
            <v>-25795</v>
          </cell>
          <cell r="S17">
            <v>-25795</v>
          </cell>
          <cell r="T17">
            <v>-25795</v>
          </cell>
          <cell r="U17">
            <v>-25795</v>
          </cell>
          <cell r="V17">
            <v>-25795</v>
          </cell>
          <cell r="W17">
            <v>-25795</v>
          </cell>
          <cell r="X17">
            <v>-25795</v>
          </cell>
          <cell r="Y17">
            <v>-25795</v>
          </cell>
          <cell r="Z17">
            <v>-25795</v>
          </cell>
          <cell r="AA17">
            <v>-25799</v>
          </cell>
          <cell r="AB17">
            <v>-178038</v>
          </cell>
          <cell r="AC17">
            <v>-178038</v>
          </cell>
          <cell r="AD17">
            <v>-178038</v>
          </cell>
          <cell r="AE17">
            <v>-178038</v>
          </cell>
          <cell r="AF17">
            <v>-178038</v>
          </cell>
          <cell r="AG17">
            <v>-178038</v>
          </cell>
          <cell r="AH17">
            <v>-178038</v>
          </cell>
          <cell r="AI17">
            <v>-178038</v>
          </cell>
          <cell r="AJ17">
            <v>-178038</v>
          </cell>
          <cell r="AK17">
            <v>-178038</v>
          </cell>
          <cell r="AL17">
            <v>-178038</v>
          </cell>
          <cell r="AM17">
            <v>-178042</v>
          </cell>
          <cell r="AN17">
            <v>0</v>
          </cell>
          <cell r="AO17">
            <v>0</v>
          </cell>
          <cell r="AP17">
            <v>0</v>
          </cell>
          <cell r="AQ17">
            <v>0</v>
          </cell>
          <cell r="AR17">
            <v>0</v>
          </cell>
          <cell r="AS17">
            <v>0</v>
          </cell>
          <cell r="AT17">
            <v>0</v>
          </cell>
          <cell r="AU17">
            <v>0</v>
          </cell>
          <cell r="AV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row>
        <row r="18">
          <cell r="A18" t="str">
            <v>4073212</v>
          </cell>
          <cell r="B18" t="str">
            <v>4073212</v>
          </cell>
          <cell r="C18" t="str">
            <v>REG DR Tax Reform</v>
          </cell>
          <cell r="AZ18">
            <v>0</v>
          </cell>
          <cell r="BA18">
            <v>1338154</v>
          </cell>
          <cell r="BB18">
            <v>1131555</v>
          </cell>
          <cell r="BC18">
            <v>1167235</v>
          </cell>
          <cell r="BD18">
            <v>283526</v>
          </cell>
          <cell r="BE18">
            <v>721436</v>
          </cell>
          <cell r="BF18">
            <v>711747</v>
          </cell>
          <cell r="BG18">
            <v>700410</v>
          </cell>
          <cell r="BH18">
            <v>-6054063</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720499.67</v>
          </cell>
          <cell r="CS18">
            <v>-31403.51</v>
          </cell>
          <cell r="CT18">
            <v>66485.61</v>
          </cell>
          <cell r="CU18">
            <v>96002.12</v>
          </cell>
          <cell r="CV18">
            <v>0</v>
          </cell>
          <cell r="CW18">
            <v>0</v>
          </cell>
          <cell r="CX18">
            <v>0</v>
          </cell>
          <cell r="CY18">
            <v>0</v>
          </cell>
          <cell r="CZ18">
            <v>-7833</v>
          </cell>
          <cell r="DA18">
            <v>0</v>
          </cell>
          <cell r="DB18">
            <v>0</v>
          </cell>
          <cell r="DC18">
            <v>0</v>
          </cell>
          <cell r="DD18">
            <v>0</v>
          </cell>
          <cell r="DE18">
            <v>0</v>
          </cell>
          <cell r="DF18">
            <v>0</v>
          </cell>
          <cell r="DG18">
            <v>7833</v>
          </cell>
          <cell r="DH18">
            <v>0</v>
          </cell>
        </row>
        <row r="19">
          <cell r="A19" t="str">
            <v>4074212</v>
          </cell>
          <cell r="B19" t="str">
            <v>4074212</v>
          </cell>
          <cell r="C19" t="str">
            <v>REG CR Tax Reform</v>
          </cell>
          <cell r="CM19">
            <v>0</v>
          </cell>
          <cell r="CN19">
            <v>0</v>
          </cell>
          <cell r="CO19">
            <v>0</v>
          </cell>
          <cell r="CP19">
            <v>0</v>
          </cell>
          <cell r="CQ19">
            <v>0</v>
          </cell>
          <cell r="CR19">
            <v>0</v>
          </cell>
          <cell r="CS19">
            <v>0</v>
          </cell>
          <cell r="CT19">
            <v>0</v>
          </cell>
          <cell r="CU19">
            <v>0</v>
          </cell>
          <cell r="CV19">
            <v>0</v>
          </cell>
          <cell r="CW19">
            <v>0</v>
          </cell>
          <cell r="CX19">
            <v>0</v>
          </cell>
          <cell r="CY19">
            <v>0</v>
          </cell>
          <cell r="CZ19">
            <v>-457013</v>
          </cell>
          <cell r="DA19">
            <v>-91402</v>
          </cell>
          <cell r="DB19">
            <v>-91402.5</v>
          </cell>
          <cell r="DC19">
            <v>-91402.5</v>
          </cell>
          <cell r="DD19">
            <v>-91402.5</v>
          </cell>
          <cell r="DE19">
            <v>-91402.5</v>
          </cell>
          <cell r="DF19">
            <v>-91402.5</v>
          </cell>
          <cell r="DG19">
            <v>-99235.5</v>
          </cell>
          <cell r="DH19">
            <v>-1104663</v>
          </cell>
        </row>
        <row r="20">
          <cell r="A20" t="str">
            <v>4120000</v>
          </cell>
          <cell r="B20" t="str">
            <v>4120000</v>
          </cell>
          <cell r="C20" t="str">
            <v>Rev Gas Plant leased</v>
          </cell>
          <cell r="AE20">
            <v>0</v>
          </cell>
          <cell r="AF20">
            <v>-235245.67</v>
          </cell>
          <cell r="AG20">
            <v>-84738.62</v>
          </cell>
          <cell r="AH20">
            <v>-84738.62</v>
          </cell>
          <cell r="AI20">
            <v>-84738.62</v>
          </cell>
          <cell r="AJ20">
            <v>-84738.62</v>
          </cell>
          <cell r="AK20">
            <v>-106698.62</v>
          </cell>
          <cell r="AL20">
            <v>-106698.62</v>
          </cell>
          <cell r="AM20">
            <v>-106698.62</v>
          </cell>
          <cell r="AN20">
            <v>-106698.62</v>
          </cell>
          <cell r="AO20">
            <v>-106698.62</v>
          </cell>
          <cell r="AP20">
            <v>-106735.81</v>
          </cell>
          <cell r="AQ20">
            <v>-193421.26</v>
          </cell>
          <cell r="AR20">
            <v>-193458.45</v>
          </cell>
          <cell r="AS20">
            <v>-193458.45</v>
          </cell>
          <cell r="AT20">
            <v>-193458.45</v>
          </cell>
          <cell r="AU20">
            <v>-193458.45</v>
          </cell>
          <cell r="AV20">
            <v>-193458.45</v>
          </cell>
          <cell r="AW20">
            <v>-223789.45</v>
          </cell>
          <cell r="AX20">
            <v>-223789.45</v>
          </cell>
          <cell r="AY20">
            <v>-223789.45</v>
          </cell>
          <cell r="AZ20">
            <v>-223789.45</v>
          </cell>
          <cell r="BA20">
            <v>-223789.45</v>
          </cell>
          <cell r="BB20">
            <v>-223789.45</v>
          </cell>
          <cell r="BC20">
            <v>-223789.45</v>
          </cell>
          <cell r="BD20">
            <v>-223789.45</v>
          </cell>
          <cell r="BE20">
            <v>-223789.45</v>
          </cell>
          <cell r="BF20">
            <v>-223789.45</v>
          </cell>
          <cell r="BG20">
            <v>-223789.45</v>
          </cell>
          <cell r="BH20">
            <v>-223789.45</v>
          </cell>
          <cell r="BI20">
            <v>-223789.45</v>
          </cell>
          <cell r="BJ20">
            <v>-223789.45</v>
          </cell>
          <cell r="BK20">
            <v>-223789.45</v>
          </cell>
          <cell r="BL20">
            <v>-223789.45</v>
          </cell>
          <cell r="BM20">
            <v>-223789.45</v>
          </cell>
          <cell r="BN20">
            <v>-255542.13</v>
          </cell>
          <cell r="BO20">
            <v>-239665.79</v>
          </cell>
          <cell r="BP20">
            <v>-239665.79</v>
          </cell>
          <cell r="BQ20">
            <v>-239665.79</v>
          </cell>
          <cell r="BR20">
            <v>-239665.79</v>
          </cell>
          <cell r="BS20">
            <v>-239665.79</v>
          </cell>
          <cell r="BT20">
            <v>-239665.79</v>
          </cell>
          <cell r="BU20">
            <v>-239665.79</v>
          </cell>
          <cell r="BV20">
            <v>-239665.79</v>
          </cell>
          <cell r="BW20">
            <v>-239665.79</v>
          </cell>
          <cell r="BX20">
            <v>-239665.79</v>
          </cell>
          <cell r="BY20">
            <v>-239665.79</v>
          </cell>
          <cell r="BZ20">
            <v>-239665.79</v>
          </cell>
          <cell r="CA20">
            <v>-239665.79</v>
          </cell>
          <cell r="CB20">
            <v>-191777.77</v>
          </cell>
          <cell r="CC20">
            <v>-215721.78</v>
          </cell>
          <cell r="CD20">
            <v>-215721.78</v>
          </cell>
          <cell r="CE20">
            <v>-215721.78</v>
          </cell>
          <cell r="CF20">
            <v>-215721.78</v>
          </cell>
          <cell r="CG20">
            <v>-207350.78</v>
          </cell>
          <cell r="CH20">
            <v>-207350.78</v>
          </cell>
          <cell r="CI20">
            <v>-207350.78</v>
          </cell>
          <cell r="CJ20">
            <v>-207350.78</v>
          </cell>
          <cell r="CK20">
            <v>-207350.78</v>
          </cell>
          <cell r="CL20">
            <v>-207350.78</v>
          </cell>
          <cell r="CM20">
            <v>-207350.78</v>
          </cell>
          <cell r="CN20">
            <v>-207350.78</v>
          </cell>
          <cell r="CO20">
            <v>-207350.78</v>
          </cell>
          <cell r="CP20">
            <v>-207350.78</v>
          </cell>
          <cell r="CQ20">
            <v>-207350.78</v>
          </cell>
          <cell r="CR20">
            <v>-207350.78</v>
          </cell>
          <cell r="CS20">
            <v>-207350.78</v>
          </cell>
          <cell r="CT20">
            <v>-207350.78</v>
          </cell>
          <cell r="CU20">
            <v>-207350.78</v>
          </cell>
          <cell r="CV20">
            <v>-207350.78</v>
          </cell>
          <cell r="CW20">
            <v>-207350.78</v>
          </cell>
          <cell r="CX20">
            <v>-207350.78</v>
          </cell>
          <cell r="CY20">
            <v>-163430.78</v>
          </cell>
          <cell r="CZ20">
            <v>-163430.78</v>
          </cell>
          <cell r="DA20">
            <v>-160597.23000000001</v>
          </cell>
          <cell r="DB20">
            <v>-139115.15</v>
          </cell>
          <cell r="DC20">
            <v>-37799.15</v>
          </cell>
          <cell r="DD20">
            <v>-37799.15</v>
          </cell>
          <cell r="DE20">
            <v>-37799.15</v>
          </cell>
          <cell r="DF20">
            <v>-37799.15</v>
          </cell>
          <cell r="DG20">
            <v>-37799.15</v>
          </cell>
          <cell r="DH20">
            <v>-1437622.0299999996</v>
          </cell>
        </row>
        <row r="21">
          <cell r="A21" t="str">
            <v>4120001</v>
          </cell>
          <cell r="B21" t="str">
            <v>4120001</v>
          </cell>
          <cell r="C21" t="str">
            <v>Rev Plant leasedGAAP</v>
          </cell>
          <cell r="AE21">
            <v>0</v>
          </cell>
          <cell r="AF21">
            <v>0</v>
          </cell>
          <cell r="AG21">
            <v>188448</v>
          </cell>
          <cell r="AH21">
            <v>62816</v>
          </cell>
          <cell r="AI21">
            <v>62816</v>
          </cell>
          <cell r="AJ21">
            <v>62816</v>
          </cell>
          <cell r="AK21">
            <v>62816</v>
          </cell>
          <cell r="AL21">
            <v>106735</v>
          </cell>
          <cell r="AM21">
            <v>84776</v>
          </cell>
          <cell r="AN21">
            <v>84776</v>
          </cell>
          <cell r="AO21">
            <v>84776</v>
          </cell>
          <cell r="AP21">
            <v>84776</v>
          </cell>
          <cell r="AQ21">
            <v>171536</v>
          </cell>
          <cell r="AR21">
            <v>171536</v>
          </cell>
          <cell r="AS21">
            <v>171536</v>
          </cell>
          <cell r="AT21">
            <v>171536</v>
          </cell>
          <cell r="AU21">
            <v>171536</v>
          </cell>
          <cell r="AV21">
            <v>171536</v>
          </cell>
          <cell r="AW21">
            <v>201867</v>
          </cell>
          <cell r="AX21">
            <v>201867</v>
          </cell>
          <cell r="AY21">
            <v>201867</v>
          </cell>
          <cell r="AZ21">
            <v>201867</v>
          </cell>
          <cell r="BA21">
            <v>201867</v>
          </cell>
          <cell r="BB21">
            <v>201867</v>
          </cell>
          <cell r="BC21">
            <v>201867</v>
          </cell>
          <cell r="BD21">
            <v>201867</v>
          </cell>
          <cell r="BE21">
            <v>201867</v>
          </cell>
          <cell r="BF21">
            <v>201867</v>
          </cell>
          <cell r="BG21">
            <v>201867</v>
          </cell>
          <cell r="BH21">
            <v>201867</v>
          </cell>
          <cell r="BI21">
            <v>201867</v>
          </cell>
          <cell r="BJ21">
            <v>201867</v>
          </cell>
          <cell r="BK21">
            <v>201867</v>
          </cell>
          <cell r="BL21">
            <v>201867</v>
          </cell>
          <cell r="BM21">
            <v>201867</v>
          </cell>
          <cell r="BN21">
            <v>201867</v>
          </cell>
          <cell r="BO21">
            <v>201867</v>
          </cell>
          <cell r="BP21">
            <v>201867</v>
          </cell>
          <cell r="BQ21">
            <v>201867</v>
          </cell>
          <cell r="BR21">
            <v>201866</v>
          </cell>
          <cell r="BS21">
            <v>201866</v>
          </cell>
          <cell r="BT21">
            <v>201866</v>
          </cell>
          <cell r="BU21">
            <v>201866</v>
          </cell>
          <cell r="BV21">
            <v>201866</v>
          </cell>
          <cell r="BW21">
            <v>201866</v>
          </cell>
          <cell r="BX21">
            <v>201868</v>
          </cell>
          <cell r="BY21">
            <v>201868</v>
          </cell>
          <cell r="BZ21">
            <v>201869</v>
          </cell>
          <cell r="CA21">
            <v>177924</v>
          </cell>
          <cell r="CB21">
            <v>177923</v>
          </cell>
          <cell r="CC21">
            <v>177924</v>
          </cell>
          <cell r="CD21">
            <v>177924</v>
          </cell>
          <cell r="CE21">
            <v>177924</v>
          </cell>
          <cell r="CF21">
            <v>177924</v>
          </cell>
          <cell r="CG21">
            <v>169552</v>
          </cell>
          <cell r="CH21">
            <v>169552</v>
          </cell>
          <cell r="CI21">
            <v>169552</v>
          </cell>
          <cell r="CJ21">
            <v>169551</v>
          </cell>
          <cell r="CK21">
            <v>169552</v>
          </cell>
          <cell r="CL21">
            <v>169552</v>
          </cell>
          <cell r="CM21">
            <v>169552</v>
          </cell>
          <cell r="CN21">
            <v>169552</v>
          </cell>
          <cell r="CO21">
            <v>169552</v>
          </cell>
          <cell r="CP21">
            <v>169552</v>
          </cell>
          <cell r="CQ21">
            <v>169552</v>
          </cell>
          <cell r="CR21">
            <v>169552</v>
          </cell>
          <cell r="CS21">
            <v>169552</v>
          </cell>
          <cell r="CT21">
            <v>169552</v>
          </cell>
          <cell r="CU21">
            <v>169552</v>
          </cell>
          <cell r="CV21">
            <v>169552</v>
          </cell>
          <cell r="CW21">
            <v>169552</v>
          </cell>
          <cell r="CX21">
            <v>169552</v>
          </cell>
          <cell r="CY21">
            <v>125632</v>
          </cell>
          <cell r="CZ21">
            <v>125632</v>
          </cell>
          <cell r="DA21">
            <v>125632</v>
          </cell>
          <cell r="DB21">
            <v>125632</v>
          </cell>
          <cell r="DC21">
            <v>0</v>
          </cell>
          <cell r="DD21">
            <v>0</v>
          </cell>
          <cell r="DE21">
            <v>0</v>
          </cell>
          <cell r="DF21">
            <v>0</v>
          </cell>
          <cell r="DG21">
            <v>0</v>
          </cell>
          <cell r="DH21">
            <v>1011184</v>
          </cell>
        </row>
        <row r="22">
          <cell r="A22" t="str">
            <v>4120002</v>
          </cell>
          <cell r="B22" t="str">
            <v>4120002</v>
          </cell>
          <cell r="C22" t="str">
            <v>Rev Plant leased Int</v>
          </cell>
          <cell r="AE22">
            <v>0</v>
          </cell>
          <cell r="AF22">
            <v>0</v>
          </cell>
          <cell r="AG22">
            <v>4207</v>
          </cell>
          <cell r="AH22">
            <v>1402</v>
          </cell>
          <cell r="AI22">
            <v>1402</v>
          </cell>
          <cell r="AJ22">
            <v>1403</v>
          </cell>
          <cell r="AK22">
            <v>1403</v>
          </cell>
          <cell r="AL22">
            <v>2372</v>
          </cell>
          <cell r="AM22">
            <v>1887</v>
          </cell>
          <cell r="AN22">
            <v>1475</v>
          </cell>
          <cell r="AO22">
            <v>1476</v>
          </cell>
          <cell r="AP22">
            <v>1476</v>
          </cell>
          <cell r="AQ22">
            <v>-55332</v>
          </cell>
          <cell r="AR22">
            <v>-55331</v>
          </cell>
          <cell r="AS22">
            <v>-55331</v>
          </cell>
          <cell r="AT22">
            <v>-55331</v>
          </cell>
          <cell r="AU22">
            <v>-55331</v>
          </cell>
          <cell r="AV22">
            <v>-55331</v>
          </cell>
          <cell r="AW22">
            <v>-75198</v>
          </cell>
          <cell r="AX22">
            <v>-75199</v>
          </cell>
          <cell r="AY22">
            <v>-75198</v>
          </cell>
          <cell r="AZ22">
            <v>-75860</v>
          </cell>
          <cell r="BA22">
            <v>-75861</v>
          </cell>
          <cell r="BB22">
            <v>-75861</v>
          </cell>
          <cell r="BC22">
            <v>-75861</v>
          </cell>
          <cell r="BD22">
            <v>-75860</v>
          </cell>
          <cell r="BE22">
            <v>-75861</v>
          </cell>
          <cell r="BF22">
            <v>-75861</v>
          </cell>
          <cell r="BG22">
            <v>-75860</v>
          </cell>
          <cell r="BH22">
            <v>-75860</v>
          </cell>
          <cell r="BI22">
            <v>-75860</v>
          </cell>
          <cell r="BJ22">
            <v>-75860</v>
          </cell>
          <cell r="BK22">
            <v>-75860</v>
          </cell>
          <cell r="BL22">
            <v>-76523</v>
          </cell>
          <cell r="BM22">
            <v>-76523</v>
          </cell>
          <cell r="BN22">
            <v>-76523</v>
          </cell>
          <cell r="BO22">
            <v>-76523</v>
          </cell>
          <cell r="BP22">
            <v>-76523</v>
          </cell>
          <cell r="BQ22">
            <v>-76523</v>
          </cell>
          <cell r="BR22">
            <v>-76522</v>
          </cell>
          <cell r="BS22">
            <v>-76522</v>
          </cell>
          <cell r="BT22">
            <v>-76522</v>
          </cell>
          <cell r="BU22">
            <v>-76524</v>
          </cell>
          <cell r="BV22">
            <v>-76523</v>
          </cell>
          <cell r="BW22">
            <v>-76523</v>
          </cell>
          <cell r="BX22">
            <v>-77186</v>
          </cell>
          <cell r="BY22">
            <v>-77185</v>
          </cell>
          <cell r="BZ22">
            <v>-77186</v>
          </cell>
          <cell r="CA22">
            <v>-61508</v>
          </cell>
          <cell r="CB22">
            <v>-61507</v>
          </cell>
          <cell r="CC22">
            <v>-61508</v>
          </cell>
          <cell r="CD22">
            <v>-61507</v>
          </cell>
          <cell r="CE22">
            <v>-61508</v>
          </cell>
          <cell r="CF22">
            <v>-61508</v>
          </cell>
          <cell r="CG22">
            <v>-56024</v>
          </cell>
          <cell r="CH22">
            <v>-56024</v>
          </cell>
          <cell r="CI22">
            <v>-56024</v>
          </cell>
          <cell r="CJ22">
            <v>-56686</v>
          </cell>
          <cell r="CK22">
            <v>-56687</v>
          </cell>
          <cell r="CL22">
            <v>-56686</v>
          </cell>
          <cell r="CM22">
            <v>-56686</v>
          </cell>
          <cell r="CN22">
            <v>-56687</v>
          </cell>
          <cell r="CO22">
            <v>-56686</v>
          </cell>
          <cell r="CP22">
            <v>-56686</v>
          </cell>
          <cell r="CQ22">
            <v>-56686</v>
          </cell>
          <cell r="CR22">
            <v>-56686</v>
          </cell>
          <cell r="CS22">
            <v>-56686</v>
          </cell>
          <cell r="CT22">
            <v>-56686</v>
          </cell>
          <cell r="CU22">
            <v>-56686</v>
          </cell>
          <cell r="CV22">
            <v>-57348</v>
          </cell>
          <cell r="CW22">
            <v>-57348</v>
          </cell>
          <cell r="CX22">
            <v>-57348</v>
          </cell>
          <cell r="CY22">
            <v>-42549</v>
          </cell>
          <cell r="CZ22">
            <v>-42549</v>
          </cell>
          <cell r="DA22">
            <v>-42549</v>
          </cell>
          <cell r="DB22">
            <v>-42549</v>
          </cell>
          <cell r="DC22">
            <v>0</v>
          </cell>
          <cell r="DD22">
            <v>0</v>
          </cell>
          <cell r="DE22">
            <v>0</v>
          </cell>
          <cell r="DF22">
            <v>0</v>
          </cell>
          <cell r="DG22">
            <v>0</v>
          </cell>
          <cell r="DH22">
            <v>-342240</v>
          </cell>
        </row>
        <row r="23">
          <cell r="A23" t="str">
            <v>4800010</v>
          </cell>
          <cell r="B23" t="str">
            <v>4800010</v>
          </cell>
          <cell r="C23" t="str">
            <v>Residential - 1</v>
          </cell>
          <cell r="D23">
            <v>-1123757.57</v>
          </cell>
          <cell r="E23">
            <v>-1108978.28</v>
          </cell>
          <cell r="F23">
            <v>-1034913.52</v>
          </cell>
          <cell r="G23">
            <v>-1000917.71</v>
          </cell>
          <cell r="H23">
            <v>-988763.96</v>
          </cell>
          <cell r="I23">
            <v>-983243.99</v>
          </cell>
          <cell r="J23">
            <v>-955649.02</v>
          </cell>
          <cell r="K23">
            <v>-962883.04</v>
          </cell>
          <cell r="L23">
            <v>-964213.07</v>
          </cell>
          <cell r="M23">
            <v>-977042.56</v>
          </cell>
          <cell r="N23">
            <v>-991025.68</v>
          </cell>
          <cell r="O23">
            <v>-1056258.95</v>
          </cell>
          <cell r="P23">
            <v>-1090069.98</v>
          </cell>
          <cell r="Q23">
            <v>-1092646.44</v>
          </cell>
          <cell r="R23">
            <v>-1082741.3400000001</v>
          </cell>
          <cell r="S23">
            <v>-1007301.09</v>
          </cell>
          <cell r="T23">
            <v>-978712.21</v>
          </cell>
          <cell r="U23">
            <v>-990341.05</v>
          </cell>
          <cell r="V23">
            <v>-1007297.72</v>
          </cell>
          <cell r="W23">
            <v>-996727.95</v>
          </cell>
          <cell r="X23">
            <v>-999472.18</v>
          </cell>
          <cell r="Y23">
            <v>-1009147.04</v>
          </cell>
          <cell r="Z23">
            <v>-1028063.33</v>
          </cell>
          <cell r="AA23">
            <v>-1066732.05</v>
          </cell>
          <cell r="AB23">
            <v>-1135715.8700000001</v>
          </cell>
          <cell r="AC23">
            <v>-1147514.45</v>
          </cell>
          <cell r="AD23">
            <v>-1102456.06</v>
          </cell>
          <cell r="AE23">
            <v>-1072272.92</v>
          </cell>
          <cell r="AF23">
            <v>-1041151.67</v>
          </cell>
          <cell r="AG23">
            <v>-1025289.49</v>
          </cell>
          <cell r="AH23">
            <v>-1198387.73</v>
          </cell>
          <cell r="AI23">
            <v>-1141902.45</v>
          </cell>
          <cell r="AJ23">
            <v>-1147790.9099999999</v>
          </cell>
          <cell r="AK23">
            <v>-1150771.1599999999</v>
          </cell>
          <cell r="AL23">
            <v>-1186605.78</v>
          </cell>
          <cell r="AM23">
            <v>-1239580.83</v>
          </cell>
          <cell r="AN23">
            <v>-1289449.42</v>
          </cell>
          <cell r="AO23">
            <v>-1258512.68</v>
          </cell>
          <cell r="AP23">
            <v>-1251539.02</v>
          </cell>
          <cell r="AQ23">
            <v>-1247043.1399999999</v>
          </cell>
          <cell r="AR23">
            <v>-1194248</v>
          </cell>
          <cell r="AS23">
            <v>-1170232.0900000001</v>
          </cell>
          <cell r="AT23">
            <v>-1421544.45</v>
          </cell>
          <cell r="AU23">
            <v>-1325841.24</v>
          </cell>
          <cell r="AV23">
            <v>-1357884.43</v>
          </cell>
          <cell r="AW23">
            <v>-1346338.45</v>
          </cell>
          <cell r="AX23">
            <v>-1393012.16</v>
          </cell>
          <cell r="AY23">
            <v>-1442612.78</v>
          </cell>
          <cell r="AZ23">
            <v>-1699603.85</v>
          </cell>
          <cell r="BA23">
            <v>-1516159.99</v>
          </cell>
          <cell r="BB23">
            <v>-1394358.8</v>
          </cell>
          <cell r="BC23">
            <v>-1454954.87</v>
          </cell>
          <cell r="BD23">
            <v>-1357513.53</v>
          </cell>
          <cell r="BE23">
            <v>-1361619.13</v>
          </cell>
          <cell r="BF23">
            <v>-1140248.82</v>
          </cell>
          <cell r="BG23">
            <v>-1207173.25</v>
          </cell>
          <cell r="BH23">
            <v>-1235488.28</v>
          </cell>
          <cell r="BI23">
            <v>-1229611.5</v>
          </cell>
          <cell r="BJ23">
            <v>-1235133.6200000001</v>
          </cell>
          <cell r="BK23">
            <v>-1312002.07</v>
          </cell>
          <cell r="BL23">
            <v>-1279160.02</v>
          </cell>
          <cell r="BM23">
            <v>-1259997.8400000001</v>
          </cell>
          <cell r="BN23">
            <v>-1244165.18</v>
          </cell>
          <cell r="BO23">
            <v>-1237461.5</v>
          </cell>
          <cell r="BP23">
            <v>-1190372.6499999999</v>
          </cell>
          <cell r="BQ23">
            <v>-1160059.42</v>
          </cell>
          <cell r="BR23">
            <v>-1249495.1299999999</v>
          </cell>
          <cell r="BS23">
            <v>-1227028.25</v>
          </cell>
          <cell r="BT23">
            <v>-1237025.74</v>
          </cell>
          <cell r="BU23">
            <v>-1232366.58</v>
          </cell>
          <cell r="BV23">
            <v>-1272527.83</v>
          </cell>
          <cell r="BW23">
            <v>-1332806.19</v>
          </cell>
          <cell r="BX23">
            <v>-1399845.78</v>
          </cell>
          <cell r="BY23">
            <v>-1351023.08</v>
          </cell>
          <cell r="BZ23">
            <v>-1317993.45</v>
          </cell>
          <cell r="CA23">
            <v>-1314006.42</v>
          </cell>
          <cell r="CB23">
            <v>-1297352.73</v>
          </cell>
          <cell r="CC23">
            <v>-1278766.0900000001</v>
          </cell>
          <cell r="CD23">
            <v>-1233667.2</v>
          </cell>
          <cell r="CE23">
            <v>-1246369.03</v>
          </cell>
          <cell r="CF23">
            <v>-1241044.3</v>
          </cell>
          <cell r="CG23">
            <v>-1255319.79</v>
          </cell>
          <cell r="CH23">
            <v>-1288495.03</v>
          </cell>
          <cell r="CI23">
            <v>-1405883.48</v>
          </cell>
          <cell r="CJ23">
            <v>-2060363.31</v>
          </cell>
          <cell r="CK23">
            <v>-1756566.78</v>
          </cell>
          <cell r="CL23">
            <v>-1745984.37</v>
          </cell>
          <cell r="CM23">
            <v>-1737212.25</v>
          </cell>
          <cell r="CN23">
            <v>-1646693.59</v>
          </cell>
          <cell r="CO23">
            <v>-1641667.89</v>
          </cell>
          <cell r="CP23">
            <v>-1723840.85</v>
          </cell>
          <cell r="CQ23">
            <v>-1687744.85</v>
          </cell>
          <cell r="CR23">
            <v>-1696247.71</v>
          </cell>
          <cell r="CS23">
            <v>-1694530.16</v>
          </cell>
          <cell r="CT23">
            <v>-1727752.61</v>
          </cell>
          <cell r="CU23">
            <v>-1812163.04</v>
          </cell>
          <cell r="CV23">
            <v>-1869175.01</v>
          </cell>
          <cell r="CW23">
            <v>-1852764.46</v>
          </cell>
          <cell r="CX23">
            <v>-1783221.62</v>
          </cell>
          <cell r="CY23">
            <v>-1761538.91</v>
          </cell>
          <cell r="CZ23">
            <v>-1728745.14</v>
          </cell>
          <cell r="DA23">
            <v>-1685993.79</v>
          </cell>
          <cell r="DB23">
            <v>-1932340.95</v>
          </cell>
          <cell r="DC23">
            <v>-1850379.74</v>
          </cell>
          <cell r="DD23">
            <v>-1844830.32</v>
          </cell>
          <cell r="DE23">
            <v>-1909712.7</v>
          </cell>
          <cell r="DF23">
            <v>-1876189.58</v>
          </cell>
          <cell r="DG23">
            <v>-1941871.02</v>
          </cell>
          <cell r="DH23">
            <v>-22036763.239999998</v>
          </cell>
        </row>
        <row r="24">
          <cell r="A24" t="str">
            <v>4800011</v>
          </cell>
          <cell r="B24" t="str">
            <v>4800011</v>
          </cell>
          <cell r="C24" t="str">
            <v>Residential - 1 FUEL</v>
          </cell>
          <cell r="D24">
            <v>-770758.2</v>
          </cell>
          <cell r="E24">
            <v>-714784.27</v>
          </cell>
          <cell r="F24">
            <v>-467538.42</v>
          </cell>
          <cell r="G24">
            <v>-360765.72</v>
          </cell>
          <cell r="H24">
            <v>-335996.29</v>
          </cell>
          <cell r="I24">
            <v>-340609.68</v>
          </cell>
          <cell r="J24">
            <v>-212973.16</v>
          </cell>
          <cell r="K24">
            <v>-256646.22</v>
          </cell>
          <cell r="L24">
            <v>-254303.69</v>
          </cell>
          <cell r="M24">
            <v>-295731.59000000003</v>
          </cell>
          <cell r="N24">
            <v>-352911.14</v>
          </cell>
          <cell r="O24">
            <v>-557220.78</v>
          </cell>
          <cell r="P24">
            <v>-649630.09</v>
          </cell>
          <cell r="Q24">
            <v>-565637.94999999995</v>
          </cell>
          <cell r="R24">
            <v>-570837.39</v>
          </cell>
          <cell r="S24">
            <v>-327177.26</v>
          </cell>
          <cell r="T24">
            <v>-282907.7</v>
          </cell>
          <cell r="U24">
            <v>-335317.49</v>
          </cell>
          <cell r="V24">
            <v>-241321.86</v>
          </cell>
          <cell r="W24">
            <v>-258891.94</v>
          </cell>
          <cell r="X24">
            <v>-271385.94</v>
          </cell>
          <cell r="Y24">
            <v>-292583.88</v>
          </cell>
          <cell r="Z24">
            <v>-354467.78</v>
          </cell>
          <cell r="AA24">
            <v>-459819.36</v>
          </cell>
          <cell r="AB24">
            <v>-693091.44</v>
          </cell>
          <cell r="AC24">
            <v>-716826.16</v>
          </cell>
          <cell r="AD24">
            <v>-566894.07999999996</v>
          </cell>
          <cell r="AE24">
            <v>-448734.6</v>
          </cell>
          <cell r="AF24">
            <v>-356876.49</v>
          </cell>
          <cell r="AG24">
            <v>-285805.38</v>
          </cell>
          <cell r="AH24">
            <v>-253603.74</v>
          </cell>
          <cell r="AI24">
            <v>-273331.32</v>
          </cell>
          <cell r="AJ24">
            <v>-276329.84000000003</v>
          </cell>
          <cell r="AK24">
            <v>-285907.21999999997</v>
          </cell>
          <cell r="AL24">
            <v>-361398.83</v>
          </cell>
          <cell r="AM24">
            <v>-503085.01</v>
          </cell>
          <cell r="AN24">
            <v>-657485.02</v>
          </cell>
          <cell r="AO24">
            <v>-587978.17000000004</v>
          </cell>
          <cell r="AP24">
            <v>-530932.98</v>
          </cell>
          <cell r="AQ24">
            <v>-536744.39</v>
          </cell>
          <cell r="AR24">
            <v>-370128.54</v>
          </cell>
          <cell r="AS24">
            <v>-287172.37</v>
          </cell>
          <cell r="AT24">
            <v>-318320.84000000003</v>
          </cell>
          <cell r="AU24">
            <v>-339120.38</v>
          </cell>
          <cell r="AV24">
            <v>-454287.71</v>
          </cell>
          <cell r="AW24">
            <v>-428977.04</v>
          </cell>
          <cell r="AX24">
            <v>-583741.73</v>
          </cell>
          <cell r="AY24">
            <v>-733524.36</v>
          </cell>
          <cell r="AZ24">
            <v>-1735749.97</v>
          </cell>
          <cell r="BA24">
            <v>-1082647.8500000001</v>
          </cell>
          <cell r="BB24">
            <v>-526643.89</v>
          </cell>
          <cell r="BC24">
            <v>-754315.93</v>
          </cell>
          <cell r="BD24">
            <v>-434722.68</v>
          </cell>
          <cell r="BE24">
            <v>-416253.57</v>
          </cell>
          <cell r="BF24">
            <v>-254097.03</v>
          </cell>
          <cell r="BG24">
            <v>-296455.69</v>
          </cell>
          <cell r="BH24">
            <v>-349032.51</v>
          </cell>
          <cell r="BI24">
            <v>-296844.2</v>
          </cell>
          <cell r="BJ24">
            <v>-405213.61</v>
          </cell>
          <cell r="BK24">
            <v>-578834.14</v>
          </cell>
          <cell r="BL24">
            <v>-794965.4</v>
          </cell>
          <cell r="BM24">
            <v>-672374.49</v>
          </cell>
          <cell r="BN24">
            <v>-685534.66</v>
          </cell>
          <cell r="BO24">
            <v>-705876.81</v>
          </cell>
          <cell r="BP24">
            <v>-503851.43</v>
          </cell>
          <cell r="BQ24">
            <v>-397916.69</v>
          </cell>
          <cell r="BR24">
            <v>-360560.58</v>
          </cell>
          <cell r="BS24">
            <v>-296601.46999999997</v>
          </cell>
          <cell r="BT24">
            <v>-366116.49</v>
          </cell>
          <cell r="BU24">
            <v>-347111.69</v>
          </cell>
          <cell r="BV24">
            <v>-494186.19</v>
          </cell>
          <cell r="BW24">
            <v>-677520.63</v>
          </cell>
          <cell r="BX24">
            <v>-826459.72</v>
          </cell>
          <cell r="BY24">
            <v>-683943.06</v>
          </cell>
          <cell r="BZ24">
            <v>-559976.63</v>
          </cell>
          <cell r="CA24">
            <v>-563285.15</v>
          </cell>
          <cell r="CB24">
            <v>-513848.38</v>
          </cell>
          <cell r="CC24">
            <v>-439630.55</v>
          </cell>
          <cell r="CD24">
            <v>-327503.69</v>
          </cell>
          <cell r="CE24">
            <v>-356799.91</v>
          </cell>
          <cell r="CF24">
            <v>-346085.9</v>
          </cell>
          <cell r="CG24">
            <v>-430128.5</v>
          </cell>
          <cell r="CH24">
            <v>-576679.09</v>
          </cell>
          <cell r="CI24">
            <v>-998888.69</v>
          </cell>
          <cell r="CJ24">
            <v>-1233709.33</v>
          </cell>
          <cell r="CK24">
            <v>-879972.06</v>
          </cell>
          <cell r="CL24">
            <v>-1017595.32</v>
          </cell>
          <cell r="CM24">
            <v>-923069.27</v>
          </cell>
          <cell r="CN24">
            <v>-584730.22</v>
          </cell>
          <cell r="CO24">
            <v>-554189.86</v>
          </cell>
          <cell r="CP24">
            <v>-382192.26</v>
          </cell>
          <cell r="CQ24">
            <v>-415539.11</v>
          </cell>
          <cell r="CR24">
            <v>-455325.18</v>
          </cell>
          <cell r="CS24">
            <v>-453587.7</v>
          </cell>
          <cell r="CT24">
            <v>-584175.04</v>
          </cell>
          <cell r="CU24">
            <v>-903150.13</v>
          </cell>
          <cell r="CV24">
            <v>-1271735.78</v>
          </cell>
          <cell r="CW24">
            <v>-1144855.78</v>
          </cell>
          <cell r="CX24">
            <v>-826585.5</v>
          </cell>
          <cell r="CY24">
            <v>-755428.6</v>
          </cell>
          <cell r="CZ24">
            <v>-633417.74</v>
          </cell>
          <cell r="DA24">
            <v>-471659.36</v>
          </cell>
          <cell r="DB24">
            <v>-454697.45</v>
          </cell>
          <cell r="DC24">
            <v>-783934.44</v>
          </cell>
          <cell r="DD24">
            <v>-682876.26</v>
          </cell>
          <cell r="DE24">
            <v>-1003428.2</v>
          </cell>
          <cell r="DF24">
            <v>-336322.11</v>
          </cell>
          <cell r="DG24">
            <v>-724281.58</v>
          </cell>
          <cell r="DH24">
            <v>-9089222.8000000007</v>
          </cell>
        </row>
        <row r="25">
          <cell r="A25" t="str">
            <v>4800020</v>
          </cell>
          <cell r="B25" t="str">
            <v>4800020</v>
          </cell>
          <cell r="C25" t="str">
            <v>Residential - 2</v>
          </cell>
          <cell r="D25">
            <v>-3650840.93</v>
          </cell>
          <cell r="E25">
            <v>-3677647.53</v>
          </cell>
          <cell r="F25">
            <v>-2972908.65</v>
          </cell>
          <cell r="G25">
            <v>-2971772.45</v>
          </cell>
          <cell r="H25">
            <v>-2810926.02</v>
          </cell>
          <cell r="I25">
            <v>-2836539.01</v>
          </cell>
          <cell r="J25">
            <v>-2701163.3</v>
          </cell>
          <cell r="K25">
            <v>-2693952.56</v>
          </cell>
          <cell r="L25">
            <v>-2760352.52</v>
          </cell>
          <cell r="M25">
            <v>-2796087.8</v>
          </cell>
          <cell r="N25">
            <v>-2909400.92</v>
          </cell>
          <cell r="O25">
            <v>-3324127</v>
          </cell>
          <cell r="P25">
            <v>-3460385.14</v>
          </cell>
          <cell r="Q25">
            <v>-3530784.26</v>
          </cell>
          <cell r="R25">
            <v>-3324284.94</v>
          </cell>
          <cell r="S25">
            <v>-2777722.27</v>
          </cell>
          <cell r="T25">
            <v>-2797611.88</v>
          </cell>
          <cell r="U25">
            <v>-2846355.06</v>
          </cell>
          <cell r="V25">
            <v>-2626530.0499999998</v>
          </cell>
          <cell r="W25">
            <v>-2716254.15</v>
          </cell>
          <cell r="X25">
            <v>-2710252.78</v>
          </cell>
          <cell r="Y25">
            <v>-2731631.16</v>
          </cell>
          <cell r="Z25">
            <v>-2824199.01</v>
          </cell>
          <cell r="AA25">
            <v>-2942717.88</v>
          </cell>
          <cell r="AB25">
            <v>-3348226.74</v>
          </cell>
          <cell r="AC25">
            <v>-3529754.95</v>
          </cell>
          <cell r="AD25">
            <v>-3038086.41</v>
          </cell>
          <cell r="AE25">
            <v>-2866995.67</v>
          </cell>
          <cell r="AF25">
            <v>-2834519.84</v>
          </cell>
          <cell r="AG25">
            <v>-2793114.71</v>
          </cell>
          <cell r="AH25">
            <v>-2999184.04</v>
          </cell>
          <cell r="AI25">
            <v>-2926513.16</v>
          </cell>
          <cell r="AJ25">
            <v>-2970934.05</v>
          </cell>
          <cell r="AK25">
            <v>-2968329.67</v>
          </cell>
          <cell r="AL25">
            <v>-3093976.96</v>
          </cell>
          <cell r="AM25">
            <v>-3329210.97</v>
          </cell>
          <cell r="AN25">
            <v>-3557472.13</v>
          </cell>
          <cell r="AO25">
            <v>-3431936.76</v>
          </cell>
          <cell r="AP25">
            <v>-3237217.56</v>
          </cell>
          <cell r="AQ25">
            <v>-3224541.52</v>
          </cell>
          <cell r="AR25">
            <v>-3057622.32</v>
          </cell>
          <cell r="AS25">
            <v>-3033381.46</v>
          </cell>
          <cell r="AT25">
            <v>-2979018.25</v>
          </cell>
          <cell r="AU25">
            <v>-2961387.8</v>
          </cell>
          <cell r="AV25">
            <v>-3063338.64</v>
          </cell>
          <cell r="AW25">
            <v>-3017753.89</v>
          </cell>
          <cell r="AX25">
            <v>-3154432.45</v>
          </cell>
          <cell r="AY25">
            <v>-3460827.44</v>
          </cell>
          <cell r="AZ25">
            <v>-4485574.47</v>
          </cell>
          <cell r="BA25">
            <v>-3676223.9</v>
          </cell>
          <cell r="BB25">
            <v>-3110078.88</v>
          </cell>
          <cell r="BC25">
            <v>-3359639.28</v>
          </cell>
          <cell r="BD25">
            <v>-3044320.01</v>
          </cell>
          <cell r="BE25">
            <v>-3058209.74</v>
          </cell>
          <cell r="BF25">
            <v>-2897730.33</v>
          </cell>
          <cell r="BG25">
            <v>-2908617.5</v>
          </cell>
          <cell r="BH25">
            <v>-3005616.5</v>
          </cell>
          <cell r="BI25">
            <v>-2944287.06</v>
          </cell>
          <cell r="BJ25">
            <v>-3020568.92</v>
          </cell>
          <cell r="BK25">
            <v>-3415087.63</v>
          </cell>
          <cell r="BL25">
            <v>-3392815.14</v>
          </cell>
          <cell r="BM25">
            <v>-3334106.37</v>
          </cell>
          <cell r="BN25">
            <v>-2992659.11</v>
          </cell>
          <cell r="BO25">
            <v>-2974883.43</v>
          </cell>
          <cell r="BP25">
            <v>-2870009.36</v>
          </cell>
          <cell r="BQ25">
            <v>-2788627.64</v>
          </cell>
          <cell r="BR25">
            <v>-2836308.35</v>
          </cell>
          <cell r="BS25">
            <v>-2823005.96</v>
          </cell>
          <cell r="BT25">
            <v>-2880994.57</v>
          </cell>
          <cell r="BU25">
            <v>-2842735.31</v>
          </cell>
          <cell r="BV25">
            <v>-3010168.62</v>
          </cell>
          <cell r="BW25">
            <v>-3263560.11</v>
          </cell>
          <cell r="BX25">
            <v>-3443992.14</v>
          </cell>
          <cell r="BY25">
            <v>-3357032.31</v>
          </cell>
          <cell r="BZ25">
            <v>-3122587.6</v>
          </cell>
          <cell r="CA25">
            <v>-3038664.26</v>
          </cell>
          <cell r="CB25">
            <v>-3022112.46</v>
          </cell>
          <cell r="CC25">
            <v>-2979229.48</v>
          </cell>
          <cell r="CD25">
            <v>-2936592.37</v>
          </cell>
          <cell r="CE25">
            <v>-2952246.08</v>
          </cell>
          <cell r="CF25">
            <v>-2948571.11</v>
          </cell>
          <cell r="CG25">
            <v>-2978161.62</v>
          </cell>
          <cell r="CH25">
            <v>-3076992.17</v>
          </cell>
          <cell r="CI25">
            <v>-3578254.06</v>
          </cell>
          <cell r="CJ25">
            <v>-5110198.3099999996</v>
          </cell>
          <cell r="CK25">
            <v>-4169454.47</v>
          </cell>
          <cell r="CL25">
            <v>-3979312.58</v>
          </cell>
          <cell r="CM25">
            <v>-3956333.25</v>
          </cell>
          <cell r="CN25">
            <v>-3736932.5</v>
          </cell>
          <cell r="CO25">
            <v>-3728859.76</v>
          </cell>
          <cell r="CP25">
            <v>-3700434.73</v>
          </cell>
          <cell r="CQ25">
            <v>-3677722.72</v>
          </cell>
          <cell r="CR25">
            <v>-3732785.26</v>
          </cell>
          <cell r="CS25">
            <v>-3709848.29</v>
          </cell>
          <cell r="CT25">
            <v>-3834912.87</v>
          </cell>
          <cell r="CU25">
            <v>-4173628.76</v>
          </cell>
          <cell r="CV25">
            <v>-4379702.5</v>
          </cell>
          <cell r="CW25">
            <v>-4548536.16</v>
          </cell>
          <cell r="CX25">
            <v>-3856917.85</v>
          </cell>
          <cell r="CY25">
            <v>-3870970.26</v>
          </cell>
          <cell r="CZ25">
            <v>-3819385.93</v>
          </cell>
          <cell r="DA25">
            <v>-3726940.25</v>
          </cell>
          <cell r="DB25">
            <v>-3852880.37</v>
          </cell>
          <cell r="DC25">
            <v>-3829867.36</v>
          </cell>
          <cell r="DD25">
            <v>-3817165.88</v>
          </cell>
          <cell r="DE25">
            <v>-4016430.98</v>
          </cell>
          <cell r="DF25">
            <v>-3952089.92</v>
          </cell>
          <cell r="DG25">
            <v>-4187511.38</v>
          </cell>
          <cell r="DH25">
            <v>-47858398.840000004</v>
          </cell>
        </row>
        <row r="26">
          <cell r="A26" t="str">
            <v>4800021</v>
          </cell>
          <cell r="B26" t="str">
            <v>4800021</v>
          </cell>
          <cell r="C26" t="str">
            <v>Residential - 2 FUEL</v>
          </cell>
          <cell r="D26">
            <v>-4241828</v>
          </cell>
          <cell r="E26">
            <v>-4268146.91</v>
          </cell>
          <cell r="F26">
            <v>-1952911.05</v>
          </cell>
          <cell r="G26">
            <v>-1932921.97</v>
          </cell>
          <cell r="H26">
            <v>-1430202.7</v>
          </cell>
          <cell r="I26">
            <v>-1597812.13</v>
          </cell>
          <cell r="J26">
            <v>-1288744.1000000001</v>
          </cell>
          <cell r="K26">
            <v>-1204265.9099999999</v>
          </cell>
          <cell r="L26">
            <v>-1380276.73</v>
          </cell>
          <cell r="M26">
            <v>-1485531.85</v>
          </cell>
          <cell r="N26">
            <v>-1844626.27</v>
          </cell>
          <cell r="O26">
            <v>-3255707.26</v>
          </cell>
          <cell r="P26">
            <v>-3554300.79</v>
          </cell>
          <cell r="Q26">
            <v>-3308954.57</v>
          </cell>
          <cell r="R26">
            <v>-2830188</v>
          </cell>
          <cell r="S26">
            <v>-1148477.22</v>
          </cell>
          <cell r="T26">
            <v>-1357190.21</v>
          </cell>
          <cell r="U26">
            <v>-1559571.87</v>
          </cell>
          <cell r="V26">
            <v>-1175282.47</v>
          </cell>
          <cell r="W26">
            <v>-1327278.55</v>
          </cell>
          <cell r="X26">
            <v>-1318245.8799999999</v>
          </cell>
          <cell r="Y26">
            <v>-1354580.88</v>
          </cell>
          <cell r="Z26">
            <v>-1639862.71</v>
          </cell>
          <cell r="AA26">
            <v>-1965290.68</v>
          </cell>
          <cell r="AB26">
            <v>-3327589.59</v>
          </cell>
          <cell r="AC26">
            <v>-3882314.14</v>
          </cell>
          <cell r="AD26">
            <v>-2202942.4300000002</v>
          </cell>
          <cell r="AE26">
            <v>-1593092.86</v>
          </cell>
          <cell r="AF26">
            <v>-1497143.84</v>
          </cell>
          <cell r="AG26">
            <v>-1295145.26</v>
          </cell>
          <cell r="AH26">
            <v>-1230097.83</v>
          </cell>
          <cell r="AI26">
            <v>-1248929.77</v>
          </cell>
          <cell r="AJ26">
            <v>-1271987.47</v>
          </cell>
          <cell r="AK26">
            <v>-1279373.77</v>
          </cell>
          <cell r="AL26">
            <v>-1495421.59</v>
          </cell>
          <cell r="AM26">
            <v>-2160227.89</v>
          </cell>
          <cell r="AN26">
            <v>-2818524.69</v>
          </cell>
          <cell r="AO26">
            <v>-2605958.7200000002</v>
          </cell>
          <cell r="AP26">
            <v>-1929065.59</v>
          </cell>
          <cell r="AQ26">
            <v>-1936665.04</v>
          </cell>
          <cell r="AR26">
            <v>-1405874.41</v>
          </cell>
          <cell r="AS26">
            <v>-1283000.73</v>
          </cell>
          <cell r="AT26">
            <v>-1323055.1200000001</v>
          </cell>
          <cell r="AU26">
            <v>-1349625.64</v>
          </cell>
          <cell r="AV26">
            <v>-1781448.4</v>
          </cell>
          <cell r="AW26">
            <v>-1614282.53</v>
          </cell>
          <cell r="AX26">
            <v>-2031804.07</v>
          </cell>
          <cell r="AY26">
            <v>-3028470.43</v>
          </cell>
          <cell r="AZ26">
            <v>-7118368.5499999998</v>
          </cell>
          <cell r="BA26">
            <v>-4185348.5</v>
          </cell>
          <cell r="BB26">
            <v>-1722364.71</v>
          </cell>
          <cell r="BC26">
            <v>-2652915.7799999998</v>
          </cell>
          <cell r="BD26">
            <v>-1588186.62</v>
          </cell>
          <cell r="BE26">
            <v>-1544913.93</v>
          </cell>
          <cell r="BF26">
            <v>-1328141.83</v>
          </cell>
          <cell r="BG26">
            <v>-1281724.2</v>
          </cell>
          <cell r="BH26">
            <v>-1510062.52</v>
          </cell>
          <cell r="BI26">
            <v>-1246101.82</v>
          </cell>
          <cell r="BJ26">
            <v>-1574414.64</v>
          </cell>
          <cell r="BK26">
            <v>-2724438.62</v>
          </cell>
          <cell r="BL26">
            <v>-3565619.04</v>
          </cell>
          <cell r="BM26">
            <v>-3224154.6</v>
          </cell>
          <cell r="BN26">
            <v>-2304365.9700000002</v>
          </cell>
          <cell r="BO26">
            <v>-2374891.5099999998</v>
          </cell>
          <cell r="BP26">
            <v>-1865932.48</v>
          </cell>
          <cell r="BQ26">
            <v>-1567937.67</v>
          </cell>
          <cell r="BR26">
            <v>-1565824.43</v>
          </cell>
          <cell r="BS26">
            <v>-1212940.32</v>
          </cell>
          <cell r="BT26">
            <v>-1523928.93</v>
          </cell>
          <cell r="BU26">
            <v>-1386024.19</v>
          </cell>
          <cell r="BV26">
            <v>-1950176.29</v>
          </cell>
          <cell r="BW26">
            <v>-2765237.68</v>
          </cell>
          <cell r="BX26">
            <v>-3184360.41</v>
          </cell>
          <cell r="BY26">
            <v>-2832867.33</v>
          </cell>
          <cell r="BZ26">
            <v>-2027038.46</v>
          </cell>
          <cell r="CA26">
            <v>-1822756.63</v>
          </cell>
          <cell r="CB26">
            <v>-1752563.81</v>
          </cell>
          <cell r="CC26">
            <v>-1574642.9</v>
          </cell>
          <cell r="CD26">
            <v>-1251360.08</v>
          </cell>
          <cell r="CE26">
            <v>-1353756.44</v>
          </cell>
          <cell r="CF26">
            <v>-1327943.3500000001</v>
          </cell>
          <cell r="CG26">
            <v>-1561634.31</v>
          </cell>
          <cell r="CH26">
            <v>-1980925.3</v>
          </cell>
          <cell r="CI26">
            <v>-3774337.14</v>
          </cell>
          <cell r="CJ26">
            <v>-5075077.84</v>
          </cell>
          <cell r="CK26">
            <v>-3234834.73</v>
          </cell>
          <cell r="CL26">
            <v>-3175034.32</v>
          </cell>
          <cell r="CM26">
            <v>-2842560.43</v>
          </cell>
          <cell r="CN26">
            <v>-2001838.84</v>
          </cell>
          <cell r="CO26">
            <v>-1936450.4</v>
          </cell>
          <cell r="CP26">
            <v>-1789648.38</v>
          </cell>
          <cell r="CQ26">
            <v>-1697839.55</v>
          </cell>
          <cell r="CR26">
            <v>-1911031.37</v>
          </cell>
          <cell r="CS26">
            <v>-1812172.92</v>
          </cell>
          <cell r="CT26">
            <v>-2288483.29</v>
          </cell>
          <cell r="CU26">
            <v>-3563484.57</v>
          </cell>
          <cell r="CV26">
            <v>-4953632.05</v>
          </cell>
          <cell r="CW26">
            <v>-5410473.21</v>
          </cell>
          <cell r="CX26">
            <v>-2466258.96</v>
          </cell>
          <cell r="CY26">
            <v>-2530796.9500000002</v>
          </cell>
          <cell r="CZ26">
            <v>-2304976.6</v>
          </cell>
          <cell r="DA26">
            <v>-1918903.92</v>
          </cell>
          <cell r="DB26">
            <v>-1836702.06</v>
          </cell>
          <cell r="DC26">
            <v>-3209575.45</v>
          </cell>
          <cell r="DD26">
            <v>-2752011.36</v>
          </cell>
          <cell r="DE26">
            <v>-3692707.39</v>
          </cell>
          <cell r="DF26">
            <v>-1396520.3</v>
          </cell>
          <cell r="DG26">
            <v>-2839896.55</v>
          </cell>
          <cell r="DH26">
            <v>-35312454.799999997</v>
          </cell>
        </row>
        <row r="27">
          <cell r="A27" t="str">
            <v>4800030</v>
          </cell>
          <cell r="B27" t="str">
            <v>4800030</v>
          </cell>
          <cell r="C27" t="str">
            <v>Residential - 3</v>
          </cell>
          <cell r="D27">
            <v>-3003917.18</v>
          </cell>
          <cell r="E27">
            <v>-2927497.48</v>
          </cell>
          <cell r="F27">
            <v>-2344904.16</v>
          </cell>
          <cell r="G27">
            <v>-2258801.17</v>
          </cell>
          <cell r="H27">
            <v>-1965259.48</v>
          </cell>
          <cell r="I27">
            <v>-1964483.37</v>
          </cell>
          <cell r="J27">
            <v>-1978925.39</v>
          </cell>
          <cell r="K27">
            <v>-1913618.14</v>
          </cell>
          <cell r="L27">
            <v>-1988247.54</v>
          </cell>
          <cell r="M27">
            <v>-2048002.19</v>
          </cell>
          <cell r="N27">
            <v>-2316874.75</v>
          </cell>
          <cell r="O27">
            <v>-2832867.6</v>
          </cell>
          <cell r="P27">
            <v>-2996645.28</v>
          </cell>
          <cell r="Q27">
            <v>-3001146.36</v>
          </cell>
          <cell r="R27">
            <v>-2820240.74</v>
          </cell>
          <cell r="S27">
            <v>-2100128.46</v>
          </cell>
          <cell r="T27">
            <v>-2034966.04</v>
          </cell>
          <cell r="U27">
            <v>-2083415.54</v>
          </cell>
          <cell r="V27">
            <v>-2087047.77</v>
          </cell>
          <cell r="W27">
            <v>-2099604.88</v>
          </cell>
          <cell r="X27">
            <v>-2098977.6</v>
          </cell>
          <cell r="Y27">
            <v>-2159089.61</v>
          </cell>
          <cell r="Z27">
            <v>-2323887.7000000002</v>
          </cell>
          <cell r="AA27">
            <v>-2540867.6800000002</v>
          </cell>
          <cell r="AB27">
            <v>-3113929.27</v>
          </cell>
          <cell r="AC27">
            <v>-3334982.14</v>
          </cell>
          <cell r="AD27">
            <v>-2698632.23</v>
          </cell>
          <cell r="AE27">
            <v>-2397498.2400000002</v>
          </cell>
          <cell r="AF27">
            <v>-2287868.66</v>
          </cell>
          <cell r="AG27">
            <v>-2170062.52</v>
          </cell>
          <cell r="AH27">
            <v>-1488762.42</v>
          </cell>
          <cell r="AI27">
            <v>-1726566.77</v>
          </cell>
          <cell r="AJ27">
            <v>-1788064.03</v>
          </cell>
          <cell r="AK27">
            <v>-1804713.55</v>
          </cell>
          <cell r="AL27">
            <v>-2071440.18</v>
          </cell>
          <cell r="AM27">
            <v>-2338465.85</v>
          </cell>
          <cell r="AN27">
            <v>-2577134.0699999998</v>
          </cell>
          <cell r="AO27">
            <v>-2367034.7200000002</v>
          </cell>
          <cell r="AP27">
            <v>-2278716.88</v>
          </cell>
          <cell r="AQ27">
            <v>-2281069.02</v>
          </cell>
          <cell r="AR27">
            <v>-1994058.67</v>
          </cell>
          <cell r="AS27">
            <v>-1900042.14</v>
          </cell>
          <cell r="AT27">
            <v>-1443405.54</v>
          </cell>
          <cell r="AU27">
            <v>-1593871.16</v>
          </cell>
          <cell r="AV27">
            <v>-1718104.67</v>
          </cell>
          <cell r="AW27">
            <v>-1704381.53</v>
          </cell>
          <cell r="AX27">
            <v>-1953745.19</v>
          </cell>
          <cell r="AY27">
            <v>-2257532.61</v>
          </cell>
          <cell r="AZ27">
            <v>-3038184.22</v>
          </cell>
          <cell r="BA27">
            <v>-2344555.35</v>
          </cell>
          <cell r="BB27">
            <v>-2147861.8199999998</v>
          </cell>
          <cell r="BC27">
            <v>-2377416.69</v>
          </cell>
          <cell r="BD27">
            <v>-1897601.82</v>
          </cell>
          <cell r="BE27">
            <v>-1874079.08</v>
          </cell>
          <cell r="BF27">
            <v>-2318452.91</v>
          </cell>
          <cell r="BG27">
            <v>-2153105.27</v>
          </cell>
          <cell r="BH27">
            <v>-2267015.77</v>
          </cell>
          <cell r="BI27">
            <v>-2239649.64</v>
          </cell>
          <cell r="BJ27">
            <v>-2491818.86</v>
          </cell>
          <cell r="BK27">
            <v>-3070957.6</v>
          </cell>
          <cell r="BL27">
            <v>-3253477.36</v>
          </cell>
          <cell r="BM27">
            <v>-2969919.7</v>
          </cell>
          <cell r="BN27">
            <v>-2709469.29</v>
          </cell>
          <cell r="BO27">
            <v>-2728394.4</v>
          </cell>
          <cell r="BP27">
            <v>-2396125.0099999998</v>
          </cell>
          <cell r="BQ27">
            <v>-2207677.84</v>
          </cell>
          <cell r="BR27">
            <v>-2006666.34</v>
          </cell>
          <cell r="BS27">
            <v>-2117019.21</v>
          </cell>
          <cell r="BT27">
            <v>-2182209.58</v>
          </cell>
          <cell r="BU27">
            <v>-2229680.0099999998</v>
          </cell>
          <cell r="BV27">
            <v>-2501978.66</v>
          </cell>
          <cell r="BW27">
            <v>-3041588.2</v>
          </cell>
          <cell r="BX27">
            <v>-3234378.44</v>
          </cell>
          <cell r="BY27">
            <v>-3039074.43</v>
          </cell>
          <cell r="BZ27">
            <v>-2877904.08</v>
          </cell>
          <cell r="CA27">
            <v>-2809083.5</v>
          </cell>
          <cell r="CB27">
            <v>-2690485.07</v>
          </cell>
          <cell r="CC27">
            <v>-2558907.13</v>
          </cell>
          <cell r="CD27">
            <v>-2361553.2599999998</v>
          </cell>
          <cell r="CE27">
            <v>-2460609.71</v>
          </cell>
          <cell r="CF27">
            <v>-2479758.39</v>
          </cell>
          <cell r="CG27">
            <v>-2611692.2000000002</v>
          </cell>
          <cell r="CH27">
            <v>-2856745.61</v>
          </cell>
          <cell r="CI27">
            <v>-3639926.15</v>
          </cell>
          <cell r="CJ27">
            <v>-5148943.25</v>
          </cell>
          <cell r="CK27">
            <v>-4072084.89</v>
          </cell>
          <cell r="CL27">
            <v>-4100457.71</v>
          </cell>
          <cell r="CM27">
            <v>-4128056.56</v>
          </cell>
          <cell r="CN27">
            <v>-3542530.83</v>
          </cell>
          <cell r="CO27">
            <v>-3573687.16</v>
          </cell>
          <cell r="CP27">
            <v>-3266435.47</v>
          </cell>
          <cell r="CQ27">
            <v>-3315235.63</v>
          </cell>
          <cell r="CR27">
            <v>-3436898.46</v>
          </cell>
          <cell r="CS27">
            <v>-3533330.31</v>
          </cell>
          <cell r="CT27">
            <v>-3920277.03</v>
          </cell>
          <cell r="CU27">
            <v>-4611249.84</v>
          </cell>
          <cell r="CV27">
            <v>-4954379.0999999996</v>
          </cell>
          <cell r="CW27">
            <v>-4870371.74</v>
          </cell>
          <cell r="CX27">
            <v>-4290662.6900000004</v>
          </cell>
          <cell r="CY27">
            <v>-4211643.7699999996</v>
          </cell>
          <cell r="CZ27">
            <v>-4012826.18</v>
          </cell>
          <cell r="DA27">
            <v>-3731671.06</v>
          </cell>
          <cell r="DB27">
            <v>-3064618.37</v>
          </cell>
          <cell r="DC27">
            <v>-3385419.81</v>
          </cell>
          <cell r="DD27">
            <v>-3426024.56</v>
          </cell>
          <cell r="DE27">
            <v>-3856332.33</v>
          </cell>
          <cell r="DF27">
            <v>-3928397.52</v>
          </cell>
          <cell r="DG27">
            <v>-4414846.87</v>
          </cell>
          <cell r="DH27">
            <v>-48147194</v>
          </cell>
        </row>
        <row r="28">
          <cell r="A28" t="str">
            <v>4800031</v>
          </cell>
          <cell r="B28" t="str">
            <v>4800031</v>
          </cell>
          <cell r="C28" t="str">
            <v>Residential - 3 FUEL</v>
          </cell>
          <cell r="D28">
            <v>-4889858.78</v>
          </cell>
          <cell r="E28">
            <v>-4577722.2300000004</v>
          </cell>
          <cell r="F28">
            <v>-2664808.54</v>
          </cell>
          <cell r="G28">
            <v>-2350455.69</v>
          </cell>
          <cell r="H28">
            <v>-1394585.89</v>
          </cell>
          <cell r="I28">
            <v>-1446309.31</v>
          </cell>
          <cell r="J28">
            <v>-1297688.6000000001</v>
          </cell>
          <cell r="K28">
            <v>-1130981.76</v>
          </cell>
          <cell r="L28">
            <v>-1318235.24</v>
          </cell>
          <cell r="M28">
            <v>-1514616.12</v>
          </cell>
          <cell r="N28">
            <v>-2385792.7999999998</v>
          </cell>
          <cell r="O28">
            <v>-4177449.17</v>
          </cell>
          <cell r="P28">
            <v>-4526055.6100000003</v>
          </cell>
          <cell r="Q28">
            <v>-3975966.03</v>
          </cell>
          <cell r="R28">
            <v>-3600211.42</v>
          </cell>
          <cell r="S28">
            <v>-1388281.39</v>
          </cell>
          <cell r="T28">
            <v>-1328868.5900000001</v>
          </cell>
          <cell r="U28">
            <v>-1490863.85</v>
          </cell>
          <cell r="V28">
            <v>-1239660.1499999999</v>
          </cell>
          <cell r="W28">
            <v>-1326903.1399999999</v>
          </cell>
          <cell r="X28">
            <v>-1321254.08</v>
          </cell>
          <cell r="Y28">
            <v>-1491199.52</v>
          </cell>
          <cell r="Z28">
            <v>-2023598.18</v>
          </cell>
          <cell r="AA28">
            <v>-2688150.33</v>
          </cell>
          <cell r="AB28">
            <v>-4614382.08</v>
          </cell>
          <cell r="AC28">
            <v>-5311641.12</v>
          </cell>
          <cell r="AD28">
            <v>-3164857.42</v>
          </cell>
          <cell r="AE28">
            <v>-2049301.37</v>
          </cell>
          <cell r="AF28">
            <v>-1693071.94</v>
          </cell>
          <cell r="AG28">
            <v>-1220629.99</v>
          </cell>
          <cell r="AH28">
            <v>-877376.1</v>
          </cell>
          <cell r="AI28">
            <v>-1008877.33</v>
          </cell>
          <cell r="AJ28">
            <v>-1088264.8999999999</v>
          </cell>
          <cell r="AK28">
            <v>-1132433.8999999999</v>
          </cell>
          <cell r="AL28">
            <v>-1753971.41</v>
          </cell>
          <cell r="AM28">
            <v>-2493288.37</v>
          </cell>
          <cell r="AN28">
            <v>-3178693.5</v>
          </cell>
          <cell r="AO28">
            <v>-2729167.15</v>
          </cell>
          <cell r="AP28">
            <v>-2340963.1800000002</v>
          </cell>
          <cell r="AQ28">
            <v>-2325773.98</v>
          </cell>
          <cell r="AR28">
            <v>-1410660.16</v>
          </cell>
          <cell r="AS28">
            <v>-1035027.16</v>
          </cell>
          <cell r="AT28">
            <v>-913709.86</v>
          </cell>
          <cell r="AU28">
            <v>-997039.76</v>
          </cell>
          <cell r="AV28">
            <v>-1394696.83</v>
          </cell>
          <cell r="AW28">
            <v>-1331919.1399999999</v>
          </cell>
          <cell r="AX28">
            <v>-2085118.72</v>
          </cell>
          <cell r="AY28">
            <v>-3009378.22</v>
          </cell>
          <cell r="AZ28">
            <v>-6058565.9500000002</v>
          </cell>
          <cell r="BA28">
            <v>-3541014.76</v>
          </cell>
          <cell r="BB28">
            <v>-2344767.87</v>
          </cell>
          <cell r="BC28">
            <v>-3132351.89</v>
          </cell>
          <cell r="BD28">
            <v>-1475808.63</v>
          </cell>
          <cell r="BE28">
            <v>-1217503.77</v>
          </cell>
          <cell r="BF28">
            <v>-1415446.15</v>
          </cell>
          <cell r="BG28">
            <v>-1235226.6200000001</v>
          </cell>
          <cell r="BH28">
            <v>-1499472.71</v>
          </cell>
          <cell r="BI28">
            <v>-1266829.8</v>
          </cell>
          <cell r="BJ28">
            <v>-2068130.42</v>
          </cell>
          <cell r="BK28">
            <v>-3747008.65</v>
          </cell>
          <cell r="BL28">
            <v>-5212320.2300000004</v>
          </cell>
          <cell r="BM28">
            <v>-4072976.1</v>
          </cell>
          <cell r="BN28">
            <v>-3480959.38</v>
          </cell>
          <cell r="BO28">
            <v>-3745581.75</v>
          </cell>
          <cell r="BP28">
            <v>-2236572.33</v>
          </cell>
          <cell r="BQ28">
            <v>-1427397.87</v>
          </cell>
          <cell r="BR28">
            <v>-1442436.63</v>
          </cell>
          <cell r="BS28">
            <v>-1180723.6599999999</v>
          </cell>
          <cell r="BT28">
            <v>-1463128.26</v>
          </cell>
          <cell r="BU28">
            <v>-1529065.35</v>
          </cell>
          <cell r="BV28">
            <v>-2384045.46</v>
          </cell>
          <cell r="BW28">
            <v>-4088378.1</v>
          </cell>
          <cell r="BX28">
            <v>-4570405.28</v>
          </cell>
          <cell r="BY28">
            <v>-3659445.24</v>
          </cell>
          <cell r="BZ28">
            <v>-2980431.52</v>
          </cell>
          <cell r="CA28">
            <v>-2760879.26</v>
          </cell>
          <cell r="CB28">
            <v>-2316953.0099999998</v>
          </cell>
          <cell r="CC28">
            <v>-1802490.65</v>
          </cell>
          <cell r="CD28">
            <v>-1147227.67</v>
          </cell>
          <cell r="CE28">
            <v>-1356427.73</v>
          </cell>
          <cell r="CF28">
            <v>-1347468.91</v>
          </cell>
          <cell r="CG28">
            <v>-1833625.78</v>
          </cell>
          <cell r="CH28">
            <v>-2682740.31</v>
          </cell>
          <cell r="CI28">
            <v>-5467712.4699999997</v>
          </cell>
          <cell r="CJ28">
            <v>-6798181.04</v>
          </cell>
          <cell r="CK28">
            <v>-4344107.63</v>
          </cell>
          <cell r="CL28">
            <v>-5203267.1500000004</v>
          </cell>
          <cell r="CM28">
            <v>-4875260.41</v>
          </cell>
          <cell r="CN28">
            <v>-2527972.7999999998</v>
          </cell>
          <cell r="CO28">
            <v>-2459181.06</v>
          </cell>
          <cell r="CP28">
            <v>-2190186.9300000002</v>
          </cell>
          <cell r="CQ28">
            <v>-1899548.07</v>
          </cell>
          <cell r="CR28">
            <v>-2271779.7999999998</v>
          </cell>
          <cell r="CS28">
            <v>-2428177.2599999998</v>
          </cell>
          <cell r="CT28">
            <v>-3811831.05</v>
          </cell>
          <cell r="CU28">
            <v>-6312915.1100000003</v>
          </cell>
          <cell r="CV28">
            <v>-8542997.4199999999</v>
          </cell>
          <cell r="CW28">
            <v>-7647708.21</v>
          </cell>
          <cell r="CX28">
            <v>-4976982.04</v>
          </cell>
          <cell r="CY28">
            <v>-4532973.1100000003</v>
          </cell>
          <cell r="CZ28">
            <v>-3499635.05</v>
          </cell>
          <cell r="DA28">
            <v>-2157575.63</v>
          </cell>
          <cell r="DB28">
            <v>-1815292.35</v>
          </cell>
          <cell r="DC28">
            <v>-3436436.06</v>
          </cell>
          <cell r="DD28">
            <v>-3033059.86</v>
          </cell>
          <cell r="DE28">
            <v>-4991683.1500000004</v>
          </cell>
          <cell r="DF28">
            <v>-2326095.65</v>
          </cell>
          <cell r="DG28">
            <v>-4683295.75</v>
          </cell>
          <cell r="DH28">
            <v>-51643734.279999994</v>
          </cell>
        </row>
        <row r="29">
          <cell r="A29" t="str">
            <v>4800035</v>
          </cell>
          <cell r="B29" t="str">
            <v>4800035</v>
          </cell>
          <cell r="C29" t="str">
            <v>Resid StndByGen</v>
          </cell>
          <cell r="D29">
            <v>-16640.23</v>
          </cell>
          <cell r="E29">
            <v>-16499.59</v>
          </cell>
          <cell r="F29">
            <v>-16252.32</v>
          </cell>
          <cell r="G29">
            <v>-16418.45</v>
          </cell>
          <cell r="H29">
            <v>-16152.87</v>
          </cell>
          <cell r="I29">
            <v>-15784.68</v>
          </cell>
          <cell r="J29">
            <v>-15780.09</v>
          </cell>
          <cell r="K29">
            <v>-15465.55</v>
          </cell>
          <cell r="L29">
            <v>-15359.76</v>
          </cell>
          <cell r="M29">
            <v>-16329.51</v>
          </cell>
          <cell r="N29">
            <v>-16360.84</v>
          </cell>
          <cell r="O29">
            <v>-16215.5</v>
          </cell>
          <cell r="P29">
            <v>-16857.38</v>
          </cell>
          <cell r="Q29">
            <v>-16997.7</v>
          </cell>
          <cell r="R29">
            <v>-16338.06</v>
          </cell>
          <cell r="S29">
            <v>-16459.939999999999</v>
          </cell>
          <cell r="T29">
            <v>-16350.39</v>
          </cell>
          <cell r="U29">
            <v>-16532.060000000001</v>
          </cell>
          <cell r="V29">
            <v>-15731.88</v>
          </cell>
          <cell r="W29">
            <v>-16071.35</v>
          </cell>
          <cell r="X29">
            <v>-16253.03</v>
          </cell>
          <cell r="Y29">
            <v>-16162.84</v>
          </cell>
          <cell r="Z29">
            <v>-16616.23</v>
          </cell>
          <cell r="AA29">
            <v>-16331.15</v>
          </cell>
          <cell r="AB29">
            <v>-16593.93</v>
          </cell>
          <cell r="AC29">
            <v>-16570.63</v>
          </cell>
          <cell r="AD29">
            <v>-17483.68</v>
          </cell>
          <cell r="AE29">
            <v>-16102.21</v>
          </cell>
          <cell r="AF29">
            <v>-15804.87</v>
          </cell>
          <cell r="AG29">
            <v>-15697.93</v>
          </cell>
          <cell r="AH29">
            <v>-16342.6</v>
          </cell>
          <cell r="AI29">
            <v>-16473.2</v>
          </cell>
          <cell r="AJ29">
            <v>-16374.55</v>
          </cell>
          <cell r="AK29">
            <v>-16590.330000000002</v>
          </cell>
          <cell r="AL29">
            <v>-16724.900000000001</v>
          </cell>
          <cell r="AM29">
            <v>-16600</v>
          </cell>
          <cell r="AN29">
            <v>-16635.89</v>
          </cell>
          <cell r="AO29">
            <v>-16687.189999999999</v>
          </cell>
          <cell r="AP29">
            <v>-17454.66</v>
          </cell>
          <cell r="AQ29">
            <v>-17522.62</v>
          </cell>
          <cell r="AR29">
            <v>-16637.13</v>
          </cell>
          <cell r="AS29">
            <v>-17000.7</v>
          </cell>
          <cell r="AT29">
            <v>-17236.060000000001</v>
          </cell>
          <cell r="AU29">
            <v>-16708.29</v>
          </cell>
          <cell r="AV29">
            <v>-21051.91</v>
          </cell>
          <cell r="AW29">
            <v>-20084.36</v>
          </cell>
          <cell r="AX29">
            <v>-24875.98</v>
          </cell>
          <cell r="AY29">
            <v>-17019.55</v>
          </cell>
          <cell r="AZ29">
            <v>-18217.72</v>
          </cell>
          <cell r="BA29">
            <v>-17394.150000000001</v>
          </cell>
          <cell r="BB29">
            <v>-17038.900000000001</v>
          </cell>
          <cell r="BC29">
            <v>-17727.34</v>
          </cell>
          <cell r="BD29">
            <v>-16954.939999999999</v>
          </cell>
          <cell r="BE29">
            <v>-17744.599999999999</v>
          </cell>
          <cell r="BF29">
            <v>-16794.080000000002</v>
          </cell>
          <cell r="BG29">
            <v>-17169.02</v>
          </cell>
          <cell r="BH29">
            <v>-18128.55</v>
          </cell>
          <cell r="BI29">
            <v>-18450.990000000002</v>
          </cell>
          <cell r="BJ29">
            <v>-19254.03</v>
          </cell>
          <cell r="BK29">
            <v>-18769.849999999999</v>
          </cell>
          <cell r="BL29">
            <v>-17951.07</v>
          </cell>
          <cell r="BM29">
            <v>-18749.23</v>
          </cell>
          <cell r="BN29">
            <v>-18100.759999999998</v>
          </cell>
          <cell r="BO29">
            <v>-18244.82</v>
          </cell>
          <cell r="BP29">
            <v>-17882.830000000002</v>
          </cell>
          <cell r="BQ29">
            <v>-17380.68</v>
          </cell>
          <cell r="BR29">
            <v>-16987.189999999999</v>
          </cell>
          <cell r="BS29">
            <v>-17649.810000000001</v>
          </cell>
          <cell r="BT29">
            <v>-17282.599999999999</v>
          </cell>
          <cell r="BU29">
            <v>-17830.82</v>
          </cell>
          <cell r="BV29">
            <v>-17869.96</v>
          </cell>
          <cell r="BW29">
            <v>-19027.62</v>
          </cell>
          <cell r="BX29">
            <v>-19038.45</v>
          </cell>
          <cell r="BY29">
            <v>-18164.84</v>
          </cell>
          <cell r="BZ29">
            <v>-18766.48</v>
          </cell>
          <cell r="CA29">
            <v>-17882.72</v>
          </cell>
          <cell r="CB29">
            <v>-17906.07</v>
          </cell>
          <cell r="CC29">
            <v>-19021.72</v>
          </cell>
          <cell r="CD29">
            <v>-18577.79</v>
          </cell>
          <cell r="CE29">
            <v>-18465.96</v>
          </cell>
          <cell r="CF29">
            <v>-18912.650000000001</v>
          </cell>
          <cell r="CG29">
            <v>-18933.849999999999</v>
          </cell>
          <cell r="CH29">
            <v>-20050.45</v>
          </cell>
          <cell r="CI29">
            <v>-20803.23</v>
          </cell>
          <cell r="CJ29">
            <v>-26319.55</v>
          </cell>
          <cell r="CK29">
            <v>-26206.81</v>
          </cell>
          <cell r="CL29">
            <v>-26733</v>
          </cell>
          <cell r="CM29">
            <v>-26352.97</v>
          </cell>
          <cell r="CN29">
            <v>-26355.21</v>
          </cell>
          <cell r="CO29">
            <v>-25954.36</v>
          </cell>
          <cell r="CP29">
            <v>-25754.21</v>
          </cell>
          <cell r="CQ29">
            <v>-25111.29</v>
          </cell>
          <cell r="CR29">
            <v>-26211.82</v>
          </cell>
          <cell r="CS29">
            <v>-26455.05</v>
          </cell>
          <cell r="CT29">
            <v>-25961.11</v>
          </cell>
          <cell r="CU29">
            <v>-27514.42</v>
          </cell>
          <cell r="CV29">
            <v>-29180.78</v>
          </cell>
          <cell r="CW29">
            <v>-28246.78</v>
          </cell>
          <cell r="CX29">
            <v>-26837.35</v>
          </cell>
          <cell r="CY29">
            <v>-27270.9</v>
          </cell>
          <cell r="CZ29">
            <v>-26572.17</v>
          </cell>
          <cell r="DA29">
            <v>-25781.14</v>
          </cell>
          <cell r="DB29">
            <v>-25954.29</v>
          </cell>
          <cell r="DC29">
            <v>-26656.6</v>
          </cell>
          <cell r="DD29">
            <v>-26782.5</v>
          </cell>
          <cell r="DE29">
            <v>-27791.360000000001</v>
          </cell>
          <cell r="DF29">
            <v>-27193.57</v>
          </cell>
          <cell r="DG29">
            <v>-28920.13</v>
          </cell>
          <cell r="DH29">
            <v>-327187.57</v>
          </cell>
        </row>
        <row r="30">
          <cell r="A30" t="str">
            <v>4800036</v>
          </cell>
          <cell r="B30" t="str">
            <v>4800036</v>
          </cell>
          <cell r="C30" t="str">
            <v>Resid StndByGen Fuel</v>
          </cell>
          <cell r="D30">
            <v>-4644.59</v>
          </cell>
          <cell r="E30">
            <v>-4642.13</v>
          </cell>
          <cell r="F30">
            <v>-3659.35</v>
          </cell>
          <cell r="G30">
            <v>-3907.93</v>
          </cell>
          <cell r="H30">
            <v>-3231.71</v>
          </cell>
          <cell r="I30">
            <v>-3015.36</v>
          </cell>
          <cell r="J30">
            <v>-2683.14</v>
          </cell>
          <cell r="K30">
            <v>-2061.9899999999998</v>
          </cell>
          <cell r="L30">
            <v>-2387.5700000000002</v>
          </cell>
          <cell r="M30">
            <v>-2861.19</v>
          </cell>
          <cell r="N30">
            <v>-3317.17</v>
          </cell>
          <cell r="O30">
            <v>-4172.32</v>
          </cell>
          <cell r="P30">
            <v>-5521.95</v>
          </cell>
          <cell r="Q30">
            <v>-3974.6</v>
          </cell>
          <cell r="R30">
            <v>-3781.2</v>
          </cell>
          <cell r="S30">
            <v>-3592.19</v>
          </cell>
          <cell r="T30">
            <v>-2543.9499999999998</v>
          </cell>
          <cell r="U30">
            <v>-2551.7199999999998</v>
          </cell>
          <cell r="V30">
            <v>-2372.7199999999998</v>
          </cell>
          <cell r="W30">
            <v>-2245.88</v>
          </cell>
          <cell r="X30">
            <v>-2451.21</v>
          </cell>
          <cell r="Y30">
            <v>-2570.1799999999998</v>
          </cell>
          <cell r="Z30">
            <v>-3136.56</v>
          </cell>
          <cell r="AA30">
            <v>-3874.35</v>
          </cell>
          <cell r="AB30">
            <v>-4890.96</v>
          </cell>
          <cell r="AC30">
            <v>-3724.22</v>
          </cell>
          <cell r="AD30">
            <v>-5151.7700000000004</v>
          </cell>
          <cell r="AE30">
            <v>-3663.31</v>
          </cell>
          <cell r="AF30">
            <v>-3563.78</v>
          </cell>
          <cell r="AG30">
            <v>-2654.98</v>
          </cell>
          <cell r="AH30">
            <v>-2596.84</v>
          </cell>
          <cell r="AI30">
            <v>-2022.95</v>
          </cell>
          <cell r="AJ30">
            <v>-2094.37</v>
          </cell>
          <cell r="AK30">
            <v>-3586.71</v>
          </cell>
          <cell r="AL30">
            <v>-3578.84</v>
          </cell>
          <cell r="AM30">
            <v>-4116.74</v>
          </cell>
          <cell r="AN30">
            <v>-4188.03</v>
          </cell>
          <cell r="AO30">
            <v>-4489.76</v>
          </cell>
          <cell r="AP30">
            <v>-4279.97</v>
          </cell>
          <cell r="AQ30">
            <v>-4011.47</v>
          </cell>
          <cell r="AR30">
            <v>-3357.62</v>
          </cell>
          <cell r="AS30">
            <v>-2428.5500000000002</v>
          </cell>
          <cell r="AT30">
            <v>-2206.9299999999998</v>
          </cell>
          <cell r="AU30">
            <v>-2145.38</v>
          </cell>
          <cell r="AV30">
            <v>-19496.53</v>
          </cell>
          <cell r="AW30">
            <v>-18956.45</v>
          </cell>
          <cell r="AX30">
            <v>-33021.21</v>
          </cell>
          <cell r="AY30">
            <v>-4926.6899999999996</v>
          </cell>
          <cell r="AZ30">
            <v>-7215.05</v>
          </cell>
          <cell r="BA30">
            <v>-4883.1899999999996</v>
          </cell>
          <cell r="BB30">
            <v>-4069.52</v>
          </cell>
          <cell r="BC30">
            <v>-4836.21</v>
          </cell>
          <cell r="BD30">
            <v>-3489.54</v>
          </cell>
          <cell r="BE30">
            <v>-3720.13</v>
          </cell>
          <cell r="BF30">
            <v>-2950.6</v>
          </cell>
          <cell r="BG30">
            <v>-2204.14</v>
          </cell>
          <cell r="BH30">
            <v>-2606.65</v>
          </cell>
          <cell r="BI30">
            <v>-4430.51</v>
          </cell>
          <cell r="BJ30">
            <v>-7803.1</v>
          </cell>
          <cell r="BK30">
            <v>-4757.6499999999996</v>
          </cell>
          <cell r="BL30">
            <v>-6169.18</v>
          </cell>
          <cell r="BM30">
            <v>-5790.13</v>
          </cell>
          <cell r="BN30">
            <v>-5581.73</v>
          </cell>
          <cell r="BO30">
            <v>-5691.5</v>
          </cell>
          <cell r="BP30">
            <v>-4194.55</v>
          </cell>
          <cell r="BQ30">
            <v>-3420.51</v>
          </cell>
          <cell r="BR30">
            <v>-2938.16</v>
          </cell>
          <cell r="BS30">
            <v>-2548.2600000000002</v>
          </cell>
          <cell r="BT30">
            <v>-2497.23</v>
          </cell>
          <cell r="BU30">
            <v>-2649.73</v>
          </cell>
          <cell r="BV30">
            <v>-3422.39</v>
          </cell>
          <cell r="BW30">
            <v>-5748.23</v>
          </cell>
          <cell r="BX30">
            <v>-6019.78</v>
          </cell>
          <cell r="BY30">
            <v>-4833.3</v>
          </cell>
          <cell r="BZ30">
            <v>-4180.74</v>
          </cell>
          <cell r="CA30">
            <v>-4317.58</v>
          </cell>
          <cell r="CB30">
            <v>-3626.71</v>
          </cell>
          <cell r="CC30">
            <v>-2988.67</v>
          </cell>
          <cell r="CD30">
            <v>-2552.9699999999998</v>
          </cell>
          <cell r="CE30">
            <v>-2632.17</v>
          </cell>
          <cell r="CF30">
            <v>-2387.5500000000002</v>
          </cell>
          <cell r="CG30">
            <v>-2744.69</v>
          </cell>
          <cell r="CH30">
            <v>-4131.78</v>
          </cell>
          <cell r="CI30">
            <v>-7527.67</v>
          </cell>
          <cell r="CJ30">
            <v>-10225.200000000001</v>
          </cell>
          <cell r="CK30">
            <v>-8782.58</v>
          </cell>
          <cell r="CL30">
            <v>-8672.23</v>
          </cell>
          <cell r="CM30">
            <v>-8448.5</v>
          </cell>
          <cell r="CN30">
            <v>-5744.81</v>
          </cell>
          <cell r="CO30">
            <v>-5291.77</v>
          </cell>
          <cell r="CP30">
            <v>-4116.25</v>
          </cell>
          <cell r="CQ30">
            <v>-3702.28</v>
          </cell>
          <cell r="CR30">
            <v>-3526.78</v>
          </cell>
          <cell r="CS30">
            <v>-4245.68</v>
          </cell>
          <cell r="CT30">
            <v>-5435.36</v>
          </cell>
          <cell r="CU30">
            <v>-11995.94</v>
          </cell>
          <cell r="CV30">
            <v>-16086.59</v>
          </cell>
          <cell r="CW30">
            <v>-11942.73</v>
          </cell>
          <cell r="CX30">
            <v>-9013.15</v>
          </cell>
          <cell r="CY30">
            <v>-9059.7900000000009</v>
          </cell>
          <cell r="CZ30">
            <v>-6260.48</v>
          </cell>
          <cell r="DA30">
            <v>-4841.51</v>
          </cell>
          <cell r="DB30">
            <v>-3954.09</v>
          </cell>
          <cell r="DC30">
            <v>-5126.43</v>
          </cell>
          <cell r="DD30">
            <v>-6916.11</v>
          </cell>
          <cell r="DE30">
            <v>-21823.41</v>
          </cell>
          <cell r="DF30">
            <v>-6389.23</v>
          </cell>
          <cell r="DG30">
            <v>-8948.4599999999991</v>
          </cell>
          <cell r="DH30">
            <v>-110361.98000000001</v>
          </cell>
        </row>
        <row r="31">
          <cell r="A31" t="str">
            <v>4800037</v>
          </cell>
          <cell r="B31" t="str">
            <v>4800037</v>
          </cell>
          <cell r="C31" t="str">
            <v>Resid Gas Heat Pump</v>
          </cell>
          <cell r="CB31">
            <v>-13.65</v>
          </cell>
          <cell r="CC31">
            <v>-67.569999999999993</v>
          </cell>
          <cell r="CD31">
            <v>-46.93</v>
          </cell>
          <cell r="CE31">
            <v>-60.77</v>
          </cell>
          <cell r="CF31">
            <v>107.7</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row>
        <row r="32">
          <cell r="A32" t="str">
            <v>4800038</v>
          </cell>
          <cell r="B32" t="str">
            <v>4800038</v>
          </cell>
          <cell r="C32" t="str">
            <v>Resid GasHeatPp Fuel</v>
          </cell>
          <cell r="CB32">
            <v>-32.97</v>
          </cell>
          <cell r="CC32">
            <v>-311.26</v>
          </cell>
          <cell r="CD32">
            <v>-222.52</v>
          </cell>
          <cell r="CE32">
            <v>-332.83</v>
          </cell>
          <cell r="CF32">
            <v>555.35</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row>
        <row r="33">
          <cell r="A33" t="str">
            <v>4800040</v>
          </cell>
          <cell r="B33" t="str">
            <v>4800040</v>
          </cell>
          <cell r="C33" t="str">
            <v>Resid GenSvc 1</v>
          </cell>
          <cell r="D33">
            <v>-226738.43</v>
          </cell>
          <cell r="E33">
            <v>-160895.51</v>
          </cell>
          <cell r="F33">
            <v>-159257.88</v>
          </cell>
          <cell r="G33">
            <v>-147172.81</v>
          </cell>
          <cell r="H33">
            <v>-81873.08</v>
          </cell>
          <cell r="I33">
            <v>-69082.06</v>
          </cell>
          <cell r="J33">
            <v>-62109.07</v>
          </cell>
          <cell r="K33">
            <v>-59162.37</v>
          </cell>
          <cell r="L33">
            <v>-66969.95</v>
          </cell>
          <cell r="M33">
            <v>-85197.48</v>
          </cell>
          <cell r="N33">
            <v>-153183.92000000001</v>
          </cell>
          <cell r="O33">
            <v>-199343.8</v>
          </cell>
          <cell r="P33">
            <v>-191167.09</v>
          </cell>
          <cell r="Q33">
            <v>-190733.52</v>
          </cell>
          <cell r="R33">
            <v>-165651.94</v>
          </cell>
          <cell r="S33">
            <v>-101502.9</v>
          </cell>
          <cell r="T33">
            <v>-67486.91</v>
          </cell>
          <cell r="U33">
            <v>-71386.14</v>
          </cell>
          <cell r="V33">
            <v>-61899.19</v>
          </cell>
          <cell r="W33">
            <v>-70995.45</v>
          </cell>
          <cell r="X33">
            <v>-66342.06</v>
          </cell>
          <cell r="Y33">
            <v>-84890.17</v>
          </cell>
          <cell r="Z33">
            <v>-114359.24</v>
          </cell>
          <cell r="AA33">
            <v>-167859.1</v>
          </cell>
          <cell r="AB33">
            <v>-208515.78</v>
          </cell>
          <cell r="AC33">
            <v>-209091.64</v>
          </cell>
          <cell r="AD33">
            <v>-167781.78</v>
          </cell>
          <cell r="AE33">
            <v>-125668.68</v>
          </cell>
          <cell r="AF33">
            <v>-94338.59</v>
          </cell>
          <cell r="AG33">
            <v>-60407.83</v>
          </cell>
          <cell r="AH33">
            <v>-59382.69</v>
          </cell>
          <cell r="AI33">
            <v>-61573.64</v>
          </cell>
          <cell r="AJ33">
            <v>-69815.990000000005</v>
          </cell>
          <cell r="AK33">
            <v>-76949.679999999993</v>
          </cell>
          <cell r="AL33">
            <v>-150592.99</v>
          </cell>
          <cell r="AM33">
            <v>-187290.81</v>
          </cell>
          <cell r="AN33">
            <v>-191210.83</v>
          </cell>
          <cell r="AO33">
            <v>-188135.69</v>
          </cell>
          <cell r="AP33">
            <v>-160008.95000000001</v>
          </cell>
          <cell r="AQ33">
            <v>-149083.91</v>
          </cell>
          <cell r="AR33">
            <v>-94853.21</v>
          </cell>
          <cell r="AS33">
            <v>-64694.68</v>
          </cell>
          <cell r="AT33">
            <v>-78668.7</v>
          </cell>
          <cell r="AU33">
            <v>-74590.52</v>
          </cell>
          <cell r="AV33">
            <v>-89591.679999999993</v>
          </cell>
          <cell r="AW33">
            <v>-89682.38</v>
          </cell>
          <cell r="AX33">
            <v>-158640.35</v>
          </cell>
          <cell r="AY33">
            <v>-207567.3</v>
          </cell>
          <cell r="AZ33">
            <v>-258653.92</v>
          </cell>
          <cell r="BA33">
            <v>-190629.98</v>
          </cell>
          <cell r="BB33">
            <v>-170998.83</v>
          </cell>
          <cell r="BC33">
            <v>-187905.51</v>
          </cell>
          <cell r="BD33">
            <v>-96663.14</v>
          </cell>
          <cell r="BE33">
            <v>-84453.23</v>
          </cell>
          <cell r="BF33">
            <v>-77823.929999999993</v>
          </cell>
          <cell r="BG33">
            <v>-78292.509999999995</v>
          </cell>
          <cell r="BH33">
            <v>-90137.61</v>
          </cell>
          <cell r="BI33">
            <v>-87283.96</v>
          </cell>
          <cell r="BJ33">
            <v>-149441.38</v>
          </cell>
          <cell r="BK33">
            <v>-219856.55</v>
          </cell>
          <cell r="BL33">
            <v>-241974.19</v>
          </cell>
          <cell r="BM33">
            <v>-187412.55</v>
          </cell>
          <cell r="BN33">
            <v>-171941.54</v>
          </cell>
          <cell r="BO33">
            <v>-169125.13</v>
          </cell>
          <cell r="BP33">
            <v>-104825.93</v>
          </cell>
          <cell r="BQ33">
            <v>-68008.44</v>
          </cell>
          <cell r="BR33">
            <v>-111506.36</v>
          </cell>
          <cell r="BS33">
            <v>-57858.5</v>
          </cell>
          <cell r="BT33">
            <v>-75267.34</v>
          </cell>
          <cell r="BU33">
            <v>-48293.07</v>
          </cell>
          <cell r="BV33">
            <v>-140033.4</v>
          </cell>
          <cell r="BW33">
            <v>-213696.32</v>
          </cell>
          <cell r="BX33">
            <v>-232478.68</v>
          </cell>
          <cell r="BY33">
            <v>-185183.18</v>
          </cell>
          <cell r="BZ33">
            <v>-169355.24</v>
          </cell>
          <cell r="CA33">
            <v>-120441.83</v>
          </cell>
          <cell r="CB33">
            <v>-99703.65</v>
          </cell>
          <cell r="CC33">
            <v>-94205.31</v>
          </cell>
          <cell r="CD33">
            <v>-63071.040000000001</v>
          </cell>
          <cell r="CE33">
            <v>-70321.179999999993</v>
          </cell>
          <cell r="CF33">
            <v>-70474.94</v>
          </cell>
          <cell r="CG33">
            <v>-91616.07</v>
          </cell>
          <cell r="CH33">
            <v>-125918.83</v>
          </cell>
          <cell r="CI33">
            <v>-223658.81</v>
          </cell>
          <cell r="CJ33">
            <v>-308661.26</v>
          </cell>
          <cell r="CK33">
            <v>-218788.53</v>
          </cell>
          <cell r="CL33">
            <v>-221169.79</v>
          </cell>
          <cell r="CM33">
            <v>-201025.99</v>
          </cell>
          <cell r="CN33">
            <v>-109305.93</v>
          </cell>
          <cell r="CO33">
            <v>-114889.54</v>
          </cell>
          <cell r="CP33">
            <v>-184326.3</v>
          </cell>
          <cell r="CQ33">
            <v>-136147.42000000001</v>
          </cell>
          <cell r="CR33">
            <v>-150155.51</v>
          </cell>
          <cell r="CS33">
            <v>-169825.48</v>
          </cell>
          <cell r="CT33">
            <v>-279051.15999999997</v>
          </cell>
          <cell r="CU33">
            <v>-384845.16</v>
          </cell>
          <cell r="CV33">
            <v>-408467.67</v>
          </cell>
          <cell r="CW33">
            <v>-344737.18</v>
          </cell>
          <cell r="CX33">
            <v>-287125.93</v>
          </cell>
          <cell r="CY33">
            <v>-263781.71999999997</v>
          </cell>
          <cell r="CZ33">
            <v>-201170.73</v>
          </cell>
          <cell r="DA33">
            <v>-135445.6</v>
          </cell>
          <cell r="DB33">
            <v>-172415.81</v>
          </cell>
          <cell r="DC33">
            <v>-155030.5</v>
          </cell>
          <cell r="DD33">
            <v>-158954.4</v>
          </cell>
          <cell r="DE33">
            <v>-232315.07</v>
          </cell>
          <cell r="DF33">
            <v>-287686.26</v>
          </cell>
          <cell r="DG33">
            <v>-393454.3</v>
          </cell>
          <cell r="DH33">
            <v>-3040585.17</v>
          </cell>
        </row>
        <row r="34">
          <cell r="A34" t="str">
            <v>4800041</v>
          </cell>
          <cell r="B34" t="str">
            <v>4800041</v>
          </cell>
          <cell r="C34" t="str">
            <v>Resid GenSvc 1 Fuel</v>
          </cell>
          <cell r="D34">
            <v>-629150.1</v>
          </cell>
          <cell r="E34">
            <v>-362201.33</v>
          </cell>
          <cell r="F34">
            <v>-339176.58</v>
          </cell>
          <cell r="G34">
            <v>-348505.28</v>
          </cell>
          <cell r="H34">
            <v>-114894.59</v>
          </cell>
          <cell r="I34">
            <v>-90415.69</v>
          </cell>
          <cell r="J34">
            <v>-68571.13</v>
          </cell>
          <cell r="K34">
            <v>-60939.13</v>
          </cell>
          <cell r="L34">
            <v>-79337.2</v>
          </cell>
          <cell r="M34">
            <v>-128901.34</v>
          </cell>
          <cell r="N34">
            <v>-311668.34000000003</v>
          </cell>
          <cell r="O34">
            <v>-446256.36</v>
          </cell>
          <cell r="P34">
            <v>-491629.3</v>
          </cell>
          <cell r="Q34">
            <v>-445371.65</v>
          </cell>
          <cell r="R34">
            <v>-309310.98</v>
          </cell>
          <cell r="S34">
            <v>-178107.93</v>
          </cell>
          <cell r="T34">
            <v>-82203.960000000006</v>
          </cell>
          <cell r="U34">
            <v>-96294.23</v>
          </cell>
          <cell r="V34">
            <v>-59213.36</v>
          </cell>
          <cell r="W34">
            <v>-89579.66</v>
          </cell>
          <cell r="X34">
            <v>-75822.34</v>
          </cell>
          <cell r="Y34">
            <v>-125802.33</v>
          </cell>
          <cell r="Z34">
            <v>-218331.64</v>
          </cell>
          <cell r="AA34">
            <v>-385469.2</v>
          </cell>
          <cell r="AB34">
            <v>-565372.84</v>
          </cell>
          <cell r="AC34">
            <v>-563925.39</v>
          </cell>
          <cell r="AD34">
            <v>-396238.63</v>
          </cell>
          <cell r="AE34">
            <v>-283169.07</v>
          </cell>
          <cell r="AF34">
            <v>-175179.58</v>
          </cell>
          <cell r="AG34">
            <v>-57530.33</v>
          </cell>
          <cell r="AH34">
            <v>-54967.3</v>
          </cell>
          <cell r="AI34">
            <v>-62038.22</v>
          </cell>
          <cell r="AJ34">
            <v>-80987.09</v>
          </cell>
          <cell r="AK34">
            <v>-103745.89</v>
          </cell>
          <cell r="AL34">
            <v>-300844.21999999997</v>
          </cell>
          <cell r="AM34">
            <v>-406085.97</v>
          </cell>
          <cell r="AN34">
            <v>-422909.5</v>
          </cell>
          <cell r="AO34">
            <v>-437933.67</v>
          </cell>
          <cell r="AP34">
            <v>-348037.1</v>
          </cell>
          <cell r="AQ34">
            <v>-318716.65000000002</v>
          </cell>
          <cell r="AR34">
            <v>-159972.25</v>
          </cell>
          <cell r="AS34">
            <v>-65476.79</v>
          </cell>
          <cell r="AT34">
            <v>-77518.740000000005</v>
          </cell>
          <cell r="AU34">
            <v>-78679.28</v>
          </cell>
          <cell r="AV34">
            <v>-140206.31</v>
          </cell>
          <cell r="AW34">
            <v>-140376.1</v>
          </cell>
          <cell r="AX34">
            <v>-368427.61</v>
          </cell>
          <cell r="AY34">
            <v>-530497.65</v>
          </cell>
          <cell r="AZ34">
            <v>-793622.18</v>
          </cell>
          <cell r="BA34">
            <v>-530080.77</v>
          </cell>
          <cell r="BB34">
            <v>-400265.11</v>
          </cell>
          <cell r="BC34">
            <v>-467268.87</v>
          </cell>
          <cell r="BD34">
            <v>-161389.4</v>
          </cell>
          <cell r="BE34">
            <v>-109267.51</v>
          </cell>
          <cell r="BF34">
            <v>-76858.37</v>
          </cell>
          <cell r="BG34">
            <v>-83523.42</v>
          </cell>
          <cell r="BH34">
            <v>-111767.07</v>
          </cell>
          <cell r="BI34">
            <v>-101940.67</v>
          </cell>
          <cell r="BJ34">
            <v>-296301.76</v>
          </cell>
          <cell r="BK34">
            <v>-511362.66</v>
          </cell>
          <cell r="BL34">
            <v>-665692.77</v>
          </cell>
          <cell r="BM34">
            <v>-470554.65</v>
          </cell>
          <cell r="BN34">
            <v>-465084.79</v>
          </cell>
          <cell r="BO34">
            <v>-490211.31</v>
          </cell>
          <cell r="BP34">
            <v>-220552.3</v>
          </cell>
          <cell r="BQ34">
            <v>-74373.710000000006</v>
          </cell>
          <cell r="BR34">
            <v>-258981.31</v>
          </cell>
          <cell r="BS34">
            <v>-22472.9</v>
          </cell>
          <cell r="BT34">
            <v>-97829.08</v>
          </cell>
          <cell r="BU34">
            <v>8568.7000000000007</v>
          </cell>
          <cell r="BV34">
            <v>-311784.09999999998</v>
          </cell>
          <cell r="BW34">
            <v>-561662.99</v>
          </cell>
          <cell r="BX34">
            <v>-621132.6</v>
          </cell>
          <cell r="BY34">
            <v>-426827.85</v>
          </cell>
          <cell r="BZ34">
            <v>-370149.44</v>
          </cell>
          <cell r="CA34">
            <v>-227303.63</v>
          </cell>
          <cell r="CB34">
            <v>-163853.67000000001</v>
          </cell>
          <cell r="CC34">
            <v>-146547.16</v>
          </cell>
          <cell r="CD34">
            <v>-51817.03</v>
          </cell>
          <cell r="CE34">
            <v>-72913.600000000006</v>
          </cell>
          <cell r="CF34">
            <v>-73283.929999999993</v>
          </cell>
          <cell r="CG34">
            <v>-147202.42000000001</v>
          </cell>
          <cell r="CH34">
            <v>-276519.17</v>
          </cell>
          <cell r="CI34">
            <v>-633509.03</v>
          </cell>
          <cell r="CJ34">
            <v>-638205.56000000006</v>
          </cell>
          <cell r="CK34">
            <v>-457289.2</v>
          </cell>
          <cell r="CL34">
            <v>-563364.79</v>
          </cell>
          <cell r="CM34">
            <v>-464344.99</v>
          </cell>
          <cell r="CN34">
            <v>-158745.79999999999</v>
          </cell>
          <cell r="CO34">
            <v>-175959.45</v>
          </cell>
          <cell r="CP34">
            <v>-245511.46</v>
          </cell>
          <cell r="CQ34">
            <v>-138154.51999999999</v>
          </cell>
          <cell r="CR34">
            <v>-183569.78</v>
          </cell>
          <cell r="CS34">
            <v>-249827.06</v>
          </cell>
          <cell r="CT34">
            <v>-615792.06999999995</v>
          </cell>
          <cell r="CU34">
            <v>-968871.81</v>
          </cell>
          <cell r="CV34">
            <v>-1202552.01</v>
          </cell>
          <cell r="CW34">
            <v>-904859.82</v>
          </cell>
          <cell r="CX34">
            <v>-696518.21</v>
          </cell>
          <cell r="CY34">
            <v>-612618.27</v>
          </cell>
          <cell r="CZ34">
            <v>-384009.81</v>
          </cell>
          <cell r="DA34">
            <v>-144895.54999999999</v>
          </cell>
          <cell r="DB34">
            <v>-188241.51</v>
          </cell>
          <cell r="DC34">
            <v>-276705.08</v>
          </cell>
          <cell r="DD34">
            <v>-252024.52</v>
          </cell>
          <cell r="DE34">
            <v>-608016.43999999994</v>
          </cell>
          <cell r="DF34">
            <v>-442561.35</v>
          </cell>
          <cell r="DG34">
            <v>-856709.15</v>
          </cell>
          <cell r="DH34">
            <v>-6569711.7199999988</v>
          </cell>
        </row>
        <row r="35">
          <cell r="A35" t="str">
            <v>4800042</v>
          </cell>
          <cell r="B35" t="str">
            <v>4800042</v>
          </cell>
          <cell r="C35" t="str">
            <v>Resid GenSvc 2</v>
          </cell>
          <cell r="D35">
            <v>-48981.08</v>
          </cell>
          <cell r="E35">
            <v>-36819.26</v>
          </cell>
          <cell r="F35">
            <v>-29328.83</v>
          </cell>
          <cell r="G35">
            <v>-27509.99</v>
          </cell>
          <cell r="H35">
            <v>-17054.79</v>
          </cell>
          <cell r="I35">
            <v>-14248.66</v>
          </cell>
          <cell r="J35">
            <v>-8234.14</v>
          </cell>
          <cell r="K35">
            <v>-10676.99</v>
          </cell>
          <cell r="L35">
            <v>-11878.51</v>
          </cell>
          <cell r="M35">
            <v>-14870.91</v>
          </cell>
          <cell r="N35">
            <v>-26855.61</v>
          </cell>
          <cell r="O35">
            <v>-36553.279999999999</v>
          </cell>
          <cell r="P35">
            <v>-34796.78</v>
          </cell>
          <cell r="Q35">
            <v>-38161.69</v>
          </cell>
          <cell r="R35">
            <v>-27411.47</v>
          </cell>
          <cell r="S35">
            <v>-15051.85</v>
          </cell>
          <cell r="T35">
            <v>-10864.66</v>
          </cell>
          <cell r="U35">
            <v>-10443.99</v>
          </cell>
          <cell r="V35">
            <v>-9186.17</v>
          </cell>
          <cell r="W35">
            <v>-9305.43</v>
          </cell>
          <cell r="X35">
            <v>-9077.2099999999991</v>
          </cell>
          <cell r="Y35">
            <v>-12476.38</v>
          </cell>
          <cell r="Z35">
            <v>-18153.39</v>
          </cell>
          <cell r="AA35">
            <v>-23160.53</v>
          </cell>
          <cell r="AB35">
            <v>-28369.49</v>
          </cell>
          <cell r="AC35">
            <v>-27811.46</v>
          </cell>
          <cell r="AD35">
            <v>-19752.900000000001</v>
          </cell>
          <cell r="AE35">
            <v>-16509.2</v>
          </cell>
          <cell r="AF35">
            <v>-11181.4</v>
          </cell>
          <cell r="AG35">
            <v>-5568.88</v>
          </cell>
          <cell r="AH35">
            <v>-6467.57</v>
          </cell>
          <cell r="AI35">
            <v>-6737.42</v>
          </cell>
          <cell r="AJ35">
            <v>-8462.8799999999992</v>
          </cell>
          <cell r="AK35">
            <v>-9261.8700000000008</v>
          </cell>
          <cell r="AL35">
            <v>-17949.509999999998</v>
          </cell>
          <cell r="AM35">
            <v>-19296.150000000001</v>
          </cell>
          <cell r="AN35">
            <v>-2462.8000000000002</v>
          </cell>
          <cell r="AO35">
            <v>-41036.620000000003</v>
          </cell>
          <cell r="AP35">
            <v>-15704.2</v>
          </cell>
          <cell r="AQ35">
            <v>-16080.89</v>
          </cell>
          <cell r="AR35">
            <v>-11478.17</v>
          </cell>
          <cell r="AS35">
            <v>-8639.82</v>
          </cell>
          <cell r="AT35">
            <v>-6896.48</v>
          </cell>
          <cell r="AU35">
            <v>-7819.82</v>
          </cell>
          <cell r="AV35">
            <v>-8047.37</v>
          </cell>
          <cell r="AW35">
            <v>-10461.799999999999</v>
          </cell>
          <cell r="AX35">
            <v>-11061.35</v>
          </cell>
          <cell r="AY35">
            <v>-16269.14</v>
          </cell>
          <cell r="AZ35">
            <v>-23812.53</v>
          </cell>
          <cell r="BA35">
            <v>-17439.060000000001</v>
          </cell>
          <cell r="BB35">
            <v>-14729.31</v>
          </cell>
          <cell r="BC35">
            <v>-11337.74</v>
          </cell>
          <cell r="BD35">
            <v>-10344.219999999999</v>
          </cell>
          <cell r="BE35">
            <v>-7540.16</v>
          </cell>
          <cell r="BF35">
            <v>-6166.76</v>
          </cell>
          <cell r="BG35">
            <v>-4184.83</v>
          </cell>
          <cell r="BH35">
            <v>-6733.99</v>
          </cell>
          <cell r="BI35">
            <v>-6581.46</v>
          </cell>
          <cell r="BJ35">
            <v>-14618.04</v>
          </cell>
          <cell r="BK35">
            <v>-12829.02</v>
          </cell>
          <cell r="BL35">
            <v>-16467.48</v>
          </cell>
          <cell r="BM35">
            <v>-11889.7</v>
          </cell>
          <cell r="BN35">
            <v>-11331.01</v>
          </cell>
          <cell r="BO35">
            <v>-10911.98</v>
          </cell>
          <cell r="BP35">
            <v>-8279.07</v>
          </cell>
          <cell r="BQ35">
            <v>-5567.53</v>
          </cell>
          <cell r="BR35">
            <v>-4173.87</v>
          </cell>
          <cell r="BS35">
            <v>-4410.83</v>
          </cell>
          <cell r="BT35">
            <v>-5633.67</v>
          </cell>
          <cell r="BU35">
            <v>-8786.06</v>
          </cell>
          <cell r="BV35">
            <v>-9614.76</v>
          </cell>
          <cell r="BW35">
            <v>-15527.95</v>
          </cell>
          <cell r="BX35">
            <v>-16512.330000000002</v>
          </cell>
          <cell r="BY35">
            <v>-13961.92</v>
          </cell>
          <cell r="BZ35">
            <v>-1028.1099999999999</v>
          </cell>
          <cell r="CA35">
            <v>-10018.44</v>
          </cell>
          <cell r="CB35">
            <v>-6131.34</v>
          </cell>
          <cell r="CC35">
            <v>-6972.28</v>
          </cell>
          <cell r="CD35">
            <v>-5023.49</v>
          </cell>
          <cell r="CE35">
            <v>-5884.21</v>
          </cell>
          <cell r="CF35">
            <v>-5301.44</v>
          </cell>
          <cell r="CG35">
            <v>-7814.74</v>
          </cell>
          <cell r="CH35">
            <v>-10709.32</v>
          </cell>
          <cell r="CI35">
            <v>-15573.7</v>
          </cell>
          <cell r="CJ35">
            <v>-21786.18</v>
          </cell>
          <cell r="CK35">
            <v>-12041.11</v>
          </cell>
          <cell r="CL35">
            <v>-12366.95</v>
          </cell>
          <cell r="CM35">
            <v>-12131.96</v>
          </cell>
          <cell r="CN35">
            <v>-8125.24</v>
          </cell>
          <cell r="CO35">
            <v>-7788.24</v>
          </cell>
          <cell r="CP35">
            <v>-12466.16</v>
          </cell>
          <cell r="CQ35">
            <v>-6931.91</v>
          </cell>
          <cell r="CR35">
            <v>-8443.17</v>
          </cell>
          <cell r="CS35">
            <v>-10100.280000000001</v>
          </cell>
          <cell r="CT35">
            <v>-19616.400000000001</v>
          </cell>
          <cell r="CU35">
            <v>-23576.49</v>
          </cell>
          <cell r="CV35">
            <v>-26719.52</v>
          </cell>
          <cell r="CW35">
            <v>-25073.09</v>
          </cell>
          <cell r="CX35">
            <v>-17343.43</v>
          </cell>
          <cell r="CY35">
            <v>-17171.23</v>
          </cell>
          <cell r="CZ35">
            <v>-14673.12</v>
          </cell>
          <cell r="DA35">
            <v>-8668.14</v>
          </cell>
          <cell r="DB35">
            <v>-12457.95</v>
          </cell>
          <cell r="DC35">
            <v>-10027.469999999999</v>
          </cell>
          <cell r="DD35">
            <v>-11377.05</v>
          </cell>
          <cell r="DE35">
            <v>-15410.49</v>
          </cell>
          <cell r="DF35">
            <v>-20787.41</v>
          </cell>
          <cell r="DG35">
            <v>-26022.85</v>
          </cell>
          <cell r="DH35">
            <v>-205731.74999999997</v>
          </cell>
        </row>
        <row r="36">
          <cell r="A36" t="str">
            <v>4800043</v>
          </cell>
          <cell r="B36" t="str">
            <v>4800043</v>
          </cell>
          <cell r="C36" t="str">
            <v>Resid GenSvc 2 Fuel</v>
          </cell>
          <cell r="D36">
            <v>-181955.78</v>
          </cell>
          <cell r="E36">
            <v>-118952.69</v>
          </cell>
          <cell r="F36">
            <v>-86809.91</v>
          </cell>
          <cell r="G36">
            <v>-93462.17</v>
          </cell>
          <cell r="H36">
            <v>-45507.71</v>
          </cell>
          <cell r="I36">
            <v>-39796.980000000003</v>
          </cell>
          <cell r="J36">
            <v>-19994.599999999999</v>
          </cell>
          <cell r="K36">
            <v>-28341.25</v>
          </cell>
          <cell r="L36">
            <v>-31119.11</v>
          </cell>
          <cell r="M36">
            <v>-39983.769999999997</v>
          </cell>
          <cell r="N36">
            <v>-77598.84</v>
          </cell>
          <cell r="O36">
            <v>-110874.36</v>
          </cell>
          <cell r="P36">
            <v>-123434.14</v>
          </cell>
          <cell r="Q36">
            <v>-123498.75</v>
          </cell>
          <cell r="R36">
            <v>-70377.539999999994</v>
          </cell>
          <cell r="S36">
            <v>-42242.42</v>
          </cell>
          <cell r="T36">
            <v>-27958.85</v>
          </cell>
          <cell r="U36">
            <v>-28488.38</v>
          </cell>
          <cell r="V36">
            <v>-23309.94</v>
          </cell>
          <cell r="W36">
            <v>-24804.6</v>
          </cell>
          <cell r="X36">
            <v>-24197.22</v>
          </cell>
          <cell r="Y36">
            <v>-34343.03</v>
          </cell>
          <cell r="Z36">
            <v>-55324.3</v>
          </cell>
          <cell r="AA36">
            <v>-74907.25</v>
          </cell>
          <cell r="AB36">
            <v>-104143.06</v>
          </cell>
          <cell r="AC36">
            <v>-101305.88</v>
          </cell>
          <cell r="AD36">
            <v>-64328.03</v>
          </cell>
          <cell r="AE36">
            <v>-56748.800000000003</v>
          </cell>
          <cell r="AF36">
            <v>-35338.14</v>
          </cell>
          <cell r="AG36">
            <v>-12616.08</v>
          </cell>
          <cell r="AH36">
            <v>-16386.740000000002</v>
          </cell>
          <cell r="AI36">
            <v>-17495.330000000002</v>
          </cell>
          <cell r="AJ36">
            <v>-21744.68</v>
          </cell>
          <cell r="AK36">
            <v>-25359.68</v>
          </cell>
          <cell r="AL36">
            <v>-52030.19</v>
          </cell>
          <cell r="AM36">
            <v>-56706.31</v>
          </cell>
          <cell r="AN36">
            <v>-7723.56</v>
          </cell>
          <cell r="AO36">
            <v>-127308.26</v>
          </cell>
          <cell r="AP36">
            <v>-42925.09</v>
          </cell>
          <cell r="AQ36">
            <v>-43668.53</v>
          </cell>
          <cell r="AR36">
            <v>-24832.7</v>
          </cell>
          <cell r="AS36">
            <v>-22897.18</v>
          </cell>
          <cell r="AT36">
            <v>-14640.56</v>
          </cell>
          <cell r="AU36">
            <v>-18210.39</v>
          </cell>
          <cell r="AV36">
            <v>-20762.240000000002</v>
          </cell>
          <cell r="AW36">
            <v>-30816.65</v>
          </cell>
          <cell r="AX36">
            <v>-33680.22</v>
          </cell>
          <cell r="AY36">
            <v>-52558.8</v>
          </cell>
          <cell r="AZ36">
            <v>-88884</v>
          </cell>
          <cell r="BA36">
            <v>-62855.29</v>
          </cell>
          <cell r="BB36">
            <v>-44841.31</v>
          </cell>
          <cell r="BC36">
            <v>-33685.61</v>
          </cell>
          <cell r="BD36">
            <v>-28900.45</v>
          </cell>
          <cell r="BE36">
            <v>-19859.8</v>
          </cell>
          <cell r="BF36">
            <v>-18553.47</v>
          </cell>
          <cell r="BG36">
            <v>-11086.49</v>
          </cell>
          <cell r="BH36">
            <v>-17806.72</v>
          </cell>
          <cell r="BI36">
            <v>-16620.900000000001</v>
          </cell>
          <cell r="BJ36">
            <v>-44899.360000000001</v>
          </cell>
          <cell r="BK36">
            <v>-40588.65</v>
          </cell>
          <cell r="BL36">
            <v>-60524.36</v>
          </cell>
          <cell r="BM36">
            <v>-41180.120000000003</v>
          </cell>
          <cell r="BN36">
            <v>-42963.48</v>
          </cell>
          <cell r="BO36">
            <v>-44890.05</v>
          </cell>
          <cell r="BP36">
            <v>-31001.040000000001</v>
          </cell>
          <cell r="BQ36">
            <v>-18572.71</v>
          </cell>
          <cell r="BR36">
            <v>-12570.72</v>
          </cell>
          <cell r="BS36">
            <v>-10500.17</v>
          </cell>
          <cell r="BT36">
            <v>-16380.8</v>
          </cell>
          <cell r="BU36">
            <v>-26935.64</v>
          </cell>
          <cell r="BV36">
            <v>-31345.040000000001</v>
          </cell>
          <cell r="BW36">
            <v>-54590.03</v>
          </cell>
          <cell r="BX36">
            <v>-58689.57</v>
          </cell>
          <cell r="BY36">
            <v>-44070.31</v>
          </cell>
          <cell r="BZ36">
            <v>2015.58</v>
          </cell>
          <cell r="CA36">
            <v>-29949.17</v>
          </cell>
          <cell r="CB36">
            <v>-16005.24</v>
          </cell>
          <cell r="CC36">
            <v>-18539.32</v>
          </cell>
          <cell r="CD36">
            <v>-12310.58</v>
          </cell>
          <cell r="CE36">
            <v>-14721.16</v>
          </cell>
          <cell r="CF36">
            <v>-12483.41</v>
          </cell>
          <cell r="CG36">
            <v>-22652.48</v>
          </cell>
          <cell r="CH36">
            <v>-36054.75</v>
          </cell>
          <cell r="CI36">
            <v>-58086.67</v>
          </cell>
          <cell r="CJ36">
            <v>-55306.09</v>
          </cell>
          <cell r="CK36">
            <v>-30865.09</v>
          </cell>
          <cell r="CL36">
            <v>-39095.800000000003</v>
          </cell>
          <cell r="CM36">
            <v>-35466.68</v>
          </cell>
          <cell r="CN36">
            <v>-20204.75</v>
          </cell>
          <cell r="CO36">
            <v>-18923.41</v>
          </cell>
          <cell r="CP36">
            <v>-36579.660000000003</v>
          </cell>
          <cell r="CQ36">
            <v>-15505.44</v>
          </cell>
          <cell r="CR36">
            <v>-20621.43</v>
          </cell>
          <cell r="CS36">
            <v>-27378.27</v>
          </cell>
          <cell r="CT36">
            <v>-62664.41</v>
          </cell>
          <cell r="CU36">
            <v>-79135.11</v>
          </cell>
          <cell r="CV36">
            <v>-104561.71</v>
          </cell>
          <cell r="CW36">
            <v>-91773.8</v>
          </cell>
          <cell r="CX36">
            <v>-58849.31</v>
          </cell>
          <cell r="CY36">
            <v>-58833.03</v>
          </cell>
          <cell r="CZ36">
            <v>-48012.22</v>
          </cell>
          <cell r="DA36">
            <v>-22330.720000000001</v>
          </cell>
          <cell r="DB36">
            <v>-32943.15</v>
          </cell>
          <cell r="DC36">
            <v>-42832.92</v>
          </cell>
          <cell r="DD36">
            <v>-43723.64</v>
          </cell>
          <cell r="DE36">
            <v>-64684.59</v>
          </cell>
          <cell r="DF36">
            <v>-48050.71</v>
          </cell>
          <cell r="DG36">
            <v>-77847.58</v>
          </cell>
          <cell r="DH36">
            <v>-694443.37999999989</v>
          </cell>
        </row>
        <row r="37">
          <cell r="A37" t="str">
            <v>4800044</v>
          </cell>
          <cell r="B37" t="str">
            <v>4800044</v>
          </cell>
          <cell r="C37" t="str">
            <v>Resid GenSvc 3</v>
          </cell>
          <cell r="D37">
            <v>0</v>
          </cell>
          <cell r="E37">
            <v>0</v>
          </cell>
          <cell r="F37">
            <v>75</v>
          </cell>
          <cell r="G37">
            <v>0</v>
          </cell>
          <cell r="H37">
            <v>0</v>
          </cell>
          <cell r="I37">
            <v>-75</v>
          </cell>
          <cell r="J37">
            <v>-1183.26</v>
          </cell>
          <cell r="K37">
            <v>-704.1</v>
          </cell>
          <cell r="L37">
            <v>-832.6</v>
          </cell>
          <cell r="M37">
            <v>-253.7</v>
          </cell>
          <cell r="N37">
            <v>-708.66</v>
          </cell>
          <cell r="O37">
            <v>-1396.44</v>
          </cell>
          <cell r="P37">
            <v>-1232.75</v>
          </cell>
          <cell r="Q37">
            <v>-2995.95</v>
          </cell>
          <cell r="R37">
            <v>-161.72999999999999</v>
          </cell>
          <cell r="S37">
            <v>-1062.3499999999999</v>
          </cell>
          <cell r="T37">
            <v>395</v>
          </cell>
          <cell r="U37">
            <v>-75</v>
          </cell>
          <cell r="V37">
            <v>150</v>
          </cell>
          <cell r="W37">
            <v>0</v>
          </cell>
          <cell r="X37">
            <v>0</v>
          </cell>
          <cell r="Y37">
            <v>0</v>
          </cell>
          <cell r="Z37">
            <v>0</v>
          </cell>
          <cell r="AA37">
            <v>0</v>
          </cell>
          <cell r="AB37">
            <v>0</v>
          </cell>
          <cell r="AC37">
            <v>-150</v>
          </cell>
          <cell r="AD37">
            <v>0</v>
          </cell>
          <cell r="AE37">
            <v>-498.37</v>
          </cell>
          <cell r="AF37">
            <v>-215.61</v>
          </cell>
          <cell r="AG37">
            <v>-2433.2600000000002</v>
          </cell>
          <cell r="AH37">
            <v>-1552.28</v>
          </cell>
          <cell r="AI37">
            <v>-1223.99</v>
          </cell>
          <cell r="AJ37">
            <v>-1516.72</v>
          </cell>
          <cell r="AK37">
            <v>-1320.29</v>
          </cell>
          <cell r="AL37">
            <v>-1239.69</v>
          </cell>
          <cell r="AM37">
            <v>-1958.65</v>
          </cell>
          <cell r="AN37">
            <v>943</v>
          </cell>
          <cell r="AO37">
            <v>-8457.16</v>
          </cell>
          <cell r="AP37">
            <v>-15143.16</v>
          </cell>
          <cell r="AQ37">
            <v>-16131.44</v>
          </cell>
          <cell r="AR37">
            <v>-23237.82</v>
          </cell>
          <cell r="AS37">
            <v>-11139.26</v>
          </cell>
          <cell r="AT37">
            <v>3881.38</v>
          </cell>
          <cell r="AU37">
            <v>-7849.87</v>
          </cell>
          <cell r="AV37">
            <v>-12515.76</v>
          </cell>
          <cell r="AW37">
            <v>-5383.18</v>
          </cell>
          <cell r="AX37">
            <v>-7143.69</v>
          </cell>
          <cell r="AY37">
            <v>-9898.9599999999991</v>
          </cell>
          <cell r="AZ37">
            <v>22841.18</v>
          </cell>
          <cell r="BA37">
            <v>2545.1799999999998</v>
          </cell>
          <cell r="BB37">
            <v>-4813.54</v>
          </cell>
          <cell r="BC37">
            <v>-7124.74</v>
          </cell>
          <cell r="BD37">
            <v>-6639.76</v>
          </cell>
          <cell r="BE37">
            <v>-1550.59</v>
          </cell>
          <cell r="BF37">
            <v>-3017.81</v>
          </cell>
          <cell r="BG37">
            <v>-3386.88</v>
          </cell>
          <cell r="BH37">
            <v>-4224.7</v>
          </cell>
          <cell r="BI37">
            <v>-2936.59</v>
          </cell>
          <cell r="BJ37">
            <v>-3582.19</v>
          </cell>
          <cell r="BK37">
            <v>-1689.09</v>
          </cell>
          <cell r="BL37">
            <v>-733.68</v>
          </cell>
          <cell r="BM37">
            <v>-2917.87</v>
          </cell>
          <cell r="BN37">
            <v>-2942.58</v>
          </cell>
          <cell r="BO37">
            <v>-3066.76</v>
          </cell>
          <cell r="BP37">
            <v>-3061.1</v>
          </cell>
          <cell r="BQ37">
            <v>-3241.46</v>
          </cell>
          <cell r="BR37">
            <v>-1245.24</v>
          </cell>
          <cell r="BS37">
            <v>-680.02</v>
          </cell>
          <cell r="BT37">
            <v>-5281.6</v>
          </cell>
          <cell r="BU37">
            <v>413.64</v>
          </cell>
          <cell r="BV37">
            <v>-2414.91</v>
          </cell>
          <cell r="BW37">
            <v>-4571.57</v>
          </cell>
          <cell r="BX37">
            <v>-4758.22</v>
          </cell>
          <cell r="BY37">
            <v>-3827.73</v>
          </cell>
          <cell r="BZ37">
            <v>-4472.09</v>
          </cell>
          <cell r="CA37">
            <v>-3694.42</v>
          </cell>
          <cell r="CB37">
            <v>-3869.92</v>
          </cell>
          <cell r="CC37">
            <v>-3792.27</v>
          </cell>
          <cell r="CD37">
            <v>-4041.1</v>
          </cell>
          <cell r="CE37">
            <v>-4198.91</v>
          </cell>
          <cell r="CF37">
            <v>-3974.53</v>
          </cell>
          <cell r="CG37">
            <v>-4126.49</v>
          </cell>
          <cell r="CH37">
            <v>-4104.01</v>
          </cell>
          <cell r="CI37">
            <v>-4212.1499999999996</v>
          </cell>
          <cell r="CJ37">
            <v>28653.98</v>
          </cell>
          <cell r="CK37">
            <v>25566.81</v>
          </cell>
          <cell r="CL37">
            <v>-1465.57</v>
          </cell>
          <cell r="CM37">
            <v>-176</v>
          </cell>
          <cell r="CN37">
            <v>-420</v>
          </cell>
          <cell r="CO37">
            <v>-420</v>
          </cell>
          <cell r="CP37">
            <v>-210</v>
          </cell>
          <cell r="CQ37">
            <v>-39270.239999999998</v>
          </cell>
          <cell r="CR37">
            <v>-35070.720000000001</v>
          </cell>
          <cell r="CS37">
            <v>9235.7199999999993</v>
          </cell>
          <cell r="CT37">
            <v>3359.39</v>
          </cell>
          <cell r="CU37">
            <v>-293.38</v>
          </cell>
          <cell r="CV37">
            <v>-874.1</v>
          </cell>
          <cell r="CW37">
            <v>-310.91000000000003</v>
          </cell>
          <cell r="CX37">
            <v>-2530.6999999999998</v>
          </cell>
          <cell r="CY37">
            <v>-1266.01</v>
          </cell>
          <cell r="CZ37">
            <v>-1053.54</v>
          </cell>
          <cell r="DA37">
            <v>1489.88</v>
          </cell>
          <cell r="DB37">
            <v>-639.5</v>
          </cell>
          <cell r="DC37">
            <v>-2522.5500000000002</v>
          </cell>
          <cell r="DD37">
            <v>1143.01</v>
          </cell>
          <cell r="DE37">
            <v>-1568.74</v>
          </cell>
          <cell r="DF37">
            <v>-631.28</v>
          </cell>
          <cell r="DG37">
            <v>0.54</v>
          </cell>
          <cell r="DH37">
            <v>-8763.9</v>
          </cell>
        </row>
        <row r="38">
          <cell r="A38" t="str">
            <v>4800045</v>
          </cell>
          <cell r="B38" t="str">
            <v>4800045</v>
          </cell>
          <cell r="C38" t="str">
            <v>Resid GenSvc 3 Fuel</v>
          </cell>
          <cell r="D38">
            <v>0</v>
          </cell>
          <cell r="E38">
            <v>0</v>
          </cell>
          <cell r="F38">
            <v>0</v>
          </cell>
          <cell r="G38">
            <v>0</v>
          </cell>
          <cell r="H38">
            <v>0</v>
          </cell>
          <cell r="I38">
            <v>0</v>
          </cell>
          <cell r="J38">
            <v>-3109.49</v>
          </cell>
          <cell r="K38">
            <v>-1772.86</v>
          </cell>
          <cell r="L38">
            <v>-2498.94</v>
          </cell>
          <cell r="M38">
            <v>-1924.73</v>
          </cell>
          <cell r="N38">
            <v>-2376.98</v>
          </cell>
          <cell r="O38">
            <v>-4768.74</v>
          </cell>
          <cell r="P38">
            <v>-4835.84</v>
          </cell>
          <cell r="Q38">
            <v>-11229.51</v>
          </cell>
          <cell r="R38">
            <v>117.85</v>
          </cell>
          <cell r="S38">
            <v>-3793.57</v>
          </cell>
          <cell r="T38">
            <v>1727</v>
          </cell>
          <cell r="U38">
            <v>0</v>
          </cell>
          <cell r="V38">
            <v>0</v>
          </cell>
          <cell r="W38">
            <v>0</v>
          </cell>
          <cell r="X38">
            <v>0</v>
          </cell>
          <cell r="Y38">
            <v>0</v>
          </cell>
          <cell r="Z38">
            <v>0</v>
          </cell>
          <cell r="AA38">
            <v>0</v>
          </cell>
          <cell r="AB38">
            <v>0</v>
          </cell>
          <cell r="AC38">
            <v>0</v>
          </cell>
          <cell r="AD38">
            <v>0</v>
          </cell>
          <cell r="AE38">
            <v>-1212.67</v>
          </cell>
          <cell r="AF38">
            <v>-974.72</v>
          </cell>
          <cell r="AG38">
            <v>-9163.64</v>
          </cell>
          <cell r="AH38">
            <v>-6512.7</v>
          </cell>
          <cell r="AI38">
            <v>-4577.5200000000004</v>
          </cell>
          <cell r="AJ38">
            <v>-5027.83</v>
          </cell>
          <cell r="AK38">
            <v>-4392.58</v>
          </cell>
          <cell r="AL38">
            <v>-4605.9399999999996</v>
          </cell>
          <cell r="AM38">
            <v>-6577.72</v>
          </cell>
          <cell r="AN38">
            <v>2923</v>
          </cell>
          <cell r="AO38">
            <v>-22792.959999999999</v>
          </cell>
          <cell r="AP38">
            <v>-750.26</v>
          </cell>
          <cell r="AQ38">
            <v>262</v>
          </cell>
          <cell r="AR38">
            <v>-3473.38</v>
          </cell>
          <cell r="AS38">
            <v>-19554</v>
          </cell>
          <cell r="AT38">
            <v>-91.5</v>
          </cell>
          <cell r="AU38">
            <v>-6683.32</v>
          </cell>
          <cell r="AV38">
            <v>-5358.42</v>
          </cell>
          <cell r="AW38">
            <v>-5486.94</v>
          </cell>
          <cell r="AX38">
            <v>-7706.62</v>
          </cell>
          <cell r="AY38">
            <v>-7939.78</v>
          </cell>
          <cell r="AZ38">
            <v>-4573.5200000000004</v>
          </cell>
          <cell r="BA38">
            <v>-7851.39</v>
          </cell>
          <cell r="BB38">
            <v>-8538.93</v>
          </cell>
          <cell r="BC38">
            <v>-8591.5400000000009</v>
          </cell>
          <cell r="BD38">
            <v>-6713.16</v>
          </cell>
          <cell r="BE38">
            <v>11782.02</v>
          </cell>
          <cell r="BF38">
            <v>-2746.25</v>
          </cell>
          <cell r="BG38">
            <v>-53.62</v>
          </cell>
          <cell r="BH38">
            <v>-174.23</v>
          </cell>
          <cell r="BI38">
            <v>-44.41</v>
          </cell>
          <cell r="BJ38">
            <v>-234.91</v>
          </cell>
          <cell r="BK38">
            <v>-791.52</v>
          </cell>
          <cell r="BL38">
            <v>-1178.43</v>
          </cell>
          <cell r="BM38">
            <v>-323.12</v>
          </cell>
          <cell r="BN38">
            <v>-1182.5899999999999</v>
          </cell>
          <cell r="BO38">
            <v>-829.31</v>
          </cell>
          <cell r="BP38">
            <v>-753.91</v>
          </cell>
          <cell r="BQ38">
            <v>-953.67</v>
          </cell>
          <cell r="BR38">
            <v>-86.72</v>
          </cell>
          <cell r="BS38">
            <v>52.82</v>
          </cell>
          <cell r="BT38">
            <v>-236.68</v>
          </cell>
          <cell r="BU38">
            <v>-187.72</v>
          </cell>
          <cell r="BV38">
            <v>-284.61</v>
          </cell>
          <cell r="BW38">
            <v>-694.48</v>
          </cell>
          <cell r="BX38">
            <v>-1011.12</v>
          </cell>
          <cell r="BY38">
            <v>-346.1</v>
          </cell>
          <cell r="BZ38">
            <v>-798.15</v>
          </cell>
          <cell r="CA38">
            <v>-258.83</v>
          </cell>
          <cell r="CB38">
            <v>-388.65</v>
          </cell>
          <cell r="CC38">
            <v>-302.26</v>
          </cell>
          <cell r="CD38">
            <v>-212.56</v>
          </cell>
          <cell r="CE38">
            <v>-267.98</v>
          </cell>
          <cell r="CF38">
            <v>-228.74</v>
          </cell>
          <cell r="CG38">
            <v>-536.07000000000005</v>
          </cell>
          <cell r="CH38">
            <v>-547.73</v>
          </cell>
          <cell r="CI38">
            <v>-1077.69</v>
          </cell>
          <cell r="CJ38">
            <v>901.98</v>
          </cell>
          <cell r="CK38">
            <v>1378.33</v>
          </cell>
          <cell r="CL38">
            <v>-3881.7</v>
          </cell>
          <cell r="CM38">
            <v>1128</v>
          </cell>
          <cell r="CN38">
            <v>0</v>
          </cell>
          <cell r="CO38">
            <v>0</v>
          </cell>
          <cell r="CP38">
            <v>0</v>
          </cell>
          <cell r="CQ38">
            <v>-2.15</v>
          </cell>
          <cell r="CR38">
            <v>-4.45</v>
          </cell>
          <cell r="CS38">
            <v>-14</v>
          </cell>
          <cell r="CT38">
            <v>-6.75</v>
          </cell>
          <cell r="CU38">
            <v>-1390.29</v>
          </cell>
          <cell r="CV38">
            <v>1881.34</v>
          </cell>
          <cell r="CW38">
            <v>-536.48</v>
          </cell>
          <cell r="CX38">
            <v>-59.69</v>
          </cell>
          <cell r="CY38">
            <v>-24.06</v>
          </cell>
          <cell r="CZ38">
            <v>-21.56</v>
          </cell>
          <cell r="DA38">
            <v>105.58</v>
          </cell>
          <cell r="DB38">
            <v>-52.03</v>
          </cell>
          <cell r="DC38">
            <v>-7936.5</v>
          </cell>
          <cell r="DD38">
            <v>10190.1</v>
          </cell>
          <cell r="DE38">
            <v>-2310.7399999999998</v>
          </cell>
          <cell r="DF38">
            <v>-4.88</v>
          </cell>
          <cell r="DG38">
            <v>2.02</v>
          </cell>
          <cell r="DH38">
            <v>1233.1000000000008</v>
          </cell>
        </row>
        <row r="39">
          <cell r="A39" t="str">
            <v>4810001</v>
          </cell>
          <cell r="B39" t="str">
            <v>4810001</v>
          </cell>
          <cell r="C39" t="str">
            <v>Nat Gas Vehicle</v>
          </cell>
          <cell r="D39">
            <v>-683.2</v>
          </cell>
          <cell r="E39">
            <v>-1841.39</v>
          </cell>
          <cell r="F39">
            <v>-1189.25</v>
          </cell>
          <cell r="G39">
            <v>-1978.35</v>
          </cell>
          <cell r="H39">
            <v>-3762.37</v>
          </cell>
          <cell r="I39">
            <v>-6539.25</v>
          </cell>
          <cell r="J39">
            <v>-56.35</v>
          </cell>
          <cell r="K39">
            <v>-11451.61</v>
          </cell>
          <cell r="L39">
            <v>-6944.5</v>
          </cell>
          <cell r="M39">
            <v>-2620.15</v>
          </cell>
          <cell r="N39">
            <v>-985.59</v>
          </cell>
          <cell r="O39">
            <v>-917.96</v>
          </cell>
          <cell r="P39">
            <v>-2687.53</v>
          </cell>
          <cell r="Q39">
            <v>-1504.33</v>
          </cell>
          <cell r="R39">
            <v>332.11</v>
          </cell>
          <cell r="S39">
            <v>-119.28</v>
          </cell>
          <cell r="T39">
            <v>-136.79</v>
          </cell>
          <cell r="U39">
            <v>-143.86000000000001</v>
          </cell>
          <cell r="V39">
            <v>-2738.31</v>
          </cell>
          <cell r="W39">
            <v>-137.5</v>
          </cell>
          <cell r="X39">
            <v>-111.5</v>
          </cell>
          <cell r="Y39">
            <v>-67</v>
          </cell>
          <cell r="Z39">
            <v>-109.37</v>
          </cell>
          <cell r="AA39">
            <v>-147.04</v>
          </cell>
          <cell r="AB39">
            <v>-171.44</v>
          </cell>
          <cell r="AC39">
            <v>-458.78</v>
          </cell>
          <cell r="AD39">
            <v>-255.3</v>
          </cell>
          <cell r="AE39">
            <v>-310.75</v>
          </cell>
          <cell r="AF39">
            <v>2462.87</v>
          </cell>
          <cell r="AG39">
            <v>-131.53</v>
          </cell>
          <cell r="AH39">
            <v>-2</v>
          </cell>
          <cell r="AI39">
            <v>-45</v>
          </cell>
          <cell r="AJ39">
            <v>-45</v>
          </cell>
          <cell r="AK39">
            <v>-45</v>
          </cell>
          <cell r="AL39">
            <v>-45</v>
          </cell>
          <cell r="AM39">
            <v>-45</v>
          </cell>
          <cell r="AN39">
            <v>-45</v>
          </cell>
          <cell r="AO39">
            <v>-67.5</v>
          </cell>
          <cell r="AP39">
            <v>23</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-134.63</v>
          </cell>
          <cell r="CJ39">
            <v>-103.62</v>
          </cell>
          <cell r="CK39">
            <v>238.25</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row>
        <row r="40">
          <cell r="A40" t="str">
            <v>4810002</v>
          </cell>
          <cell r="B40" t="str">
            <v>4810002</v>
          </cell>
          <cell r="C40" t="str">
            <v>Nat Gas Vehicle Fuel</v>
          </cell>
          <cell r="D40">
            <v>28.97</v>
          </cell>
          <cell r="E40">
            <v>-3484.71</v>
          </cell>
          <cell r="F40">
            <v>-93.06</v>
          </cell>
          <cell r="G40">
            <v>-2040.75</v>
          </cell>
          <cell r="H40">
            <v>-4887.21</v>
          </cell>
          <cell r="I40">
            <v>-6879.48</v>
          </cell>
          <cell r="J40">
            <v>3567.96</v>
          </cell>
          <cell r="K40">
            <v>-3955.6</v>
          </cell>
          <cell r="L40">
            <v>1376.58</v>
          </cell>
          <cell r="M40">
            <v>1724.83</v>
          </cell>
          <cell r="N40">
            <v>737.94</v>
          </cell>
          <cell r="O40">
            <v>78.95</v>
          </cell>
          <cell r="P40">
            <v>-665.11</v>
          </cell>
          <cell r="Q40">
            <v>-5666.72</v>
          </cell>
          <cell r="R40">
            <v>2181.62</v>
          </cell>
          <cell r="S40">
            <v>-48.37</v>
          </cell>
          <cell r="T40">
            <v>-91.67</v>
          </cell>
          <cell r="U40">
            <v>-39.020000000000003</v>
          </cell>
          <cell r="V40">
            <v>-0.38</v>
          </cell>
          <cell r="W40">
            <v>-4.83</v>
          </cell>
          <cell r="X40">
            <v>3</v>
          </cell>
          <cell r="Y40">
            <v>0</v>
          </cell>
          <cell r="Z40">
            <v>-87.7</v>
          </cell>
          <cell r="AA40">
            <v>-252.07</v>
          </cell>
          <cell r="AB40">
            <v>-186.65</v>
          </cell>
          <cell r="AC40">
            <v>-1349.64</v>
          </cell>
          <cell r="AD40">
            <v>-657.02</v>
          </cell>
          <cell r="AE40">
            <v>-640.79</v>
          </cell>
          <cell r="AF40">
            <v>-570.86</v>
          </cell>
          <cell r="AG40">
            <v>-290.33</v>
          </cell>
          <cell r="AH40">
            <v>195</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-254.87</v>
          </cell>
          <cell r="CJ40">
            <v>-317.05</v>
          </cell>
          <cell r="CK40">
            <v>571.91999999999996</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row>
        <row r="41">
          <cell r="A41" t="str">
            <v>4810004</v>
          </cell>
          <cell r="B41" t="str">
            <v>4810004</v>
          </cell>
          <cell r="C41" t="str">
            <v>Comm Street Lighting</v>
          </cell>
          <cell r="D41">
            <v>-1223.76</v>
          </cell>
          <cell r="E41">
            <v>-895.08</v>
          </cell>
          <cell r="F41">
            <v>-831.56</v>
          </cell>
          <cell r="G41">
            <v>-1021.13</v>
          </cell>
          <cell r="H41">
            <v>-997.63</v>
          </cell>
          <cell r="I41">
            <v>-924.03</v>
          </cell>
          <cell r="J41">
            <v>-886.3</v>
          </cell>
          <cell r="K41">
            <v>-899.27</v>
          </cell>
          <cell r="L41">
            <v>-839.12</v>
          </cell>
          <cell r="M41">
            <v>-867.7</v>
          </cell>
          <cell r="N41">
            <v>-774.96</v>
          </cell>
          <cell r="O41">
            <v>-986.8</v>
          </cell>
          <cell r="P41">
            <v>-893.89</v>
          </cell>
          <cell r="Q41">
            <v>-603.83000000000004</v>
          </cell>
          <cell r="R41">
            <v>-871.63</v>
          </cell>
          <cell r="S41">
            <v>-689.86</v>
          </cell>
          <cell r="T41">
            <v>-647.54999999999995</v>
          </cell>
          <cell r="U41">
            <v>-1029.8</v>
          </cell>
          <cell r="V41">
            <v>-682.48</v>
          </cell>
          <cell r="W41">
            <v>-849.22</v>
          </cell>
          <cell r="X41">
            <v>-827.66</v>
          </cell>
          <cell r="Y41">
            <v>-741.75</v>
          </cell>
          <cell r="Z41">
            <v>-696.62</v>
          </cell>
          <cell r="AA41">
            <v>-630.73</v>
          </cell>
          <cell r="AB41">
            <v>-632.44000000000005</v>
          </cell>
          <cell r="AC41">
            <v>-642.4</v>
          </cell>
          <cell r="AD41">
            <v>-564.58000000000004</v>
          </cell>
          <cell r="AE41">
            <v>-698.32</v>
          </cell>
          <cell r="AF41">
            <v>-590.44000000000005</v>
          </cell>
          <cell r="AG41">
            <v>-746.49</v>
          </cell>
          <cell r="AH41">
            <v>-660.01</v>
          </cell>
          <cell r="AI41">
            <v>-643.83000000000004</v>
          </cell>
          <cell r="AJ41">
            <v>-682.25</v>
          </cell>
          <cell r="AK41">
            <v>-470.05</v>
          </cell>
          <cell r="AL41">
            <v>-639.6</v>
          </cell>
          <cell r="AM41">
            <v>-702.68</v>
          </cell>
          <cell r="AN41">
            <v>-856.46</v>
          </cell>
          <cell r="AO41">
            <v>-477.01</v>
          </cell>
          <cell r="AP41">
            <v>-532.16999999999996</v>
          </cell>
          <cell r="AQ41">
            <v>-547.92999999999995</v>
          </cell>
          <cell r="AR41">
            <v>-539.19000000000005</v>
          </cell>
          <cell r="AS41">
            <v>-551.30999999999995</v>
          </cell>
          <cell r="AT41">
            <v>-568.12</v>
          </cell>
          <cell r="AU41">
            <v>-1040.5</v>
          </cell>
          <cell r="AV41">
            <v>-469.46</v>
          </cell>
          <cell r="AW41">
            <v>-524.49</v>
          </cell>
          <cell r="AX41">
            <v>-522.27</v>
          </cell>
          <cell r="AY41">
            <v>-466.63</v>
          </cell>
          <cell r="AZ41">
            <v>-566.66</v>
          </cell>
          <cell r="BA41">
            <v>-384.6</v>
          </cell>
          <cell r="BB41">
            <v>-514.36</v>
          </cell>
          <cell r="BC41">
            <v>-490.54</v>
          </cell>
          <cell r="BD41">
            <v>-473.95</v>
          </cell>
          <cell r="BE41">
            <v>-486.51</v>
          </cell>
          <cell r="BF41">
            <v>-580.71</v>
          </cell>
          <cell r="BG41">
            <v>-590.03</v>
          </cell>
          <cell r="BH41">
            <v>-614.64</v>
          </cell>
          <cell r="BI41">
            <v>-537.5</v>
          </cell>
          <cell r="BJ41">
            <v>-651.32000000000005</v>
          </cell>
          <cell r="BK41">
            <v>-594.70000000000005</v>
          </cell>
          <cell r="BL41">
            <v>-606.54</v>
          </cell>
          <cell r="BM41">
            <v>-531.01</v>
          </cell>
          <cell r="BN41">
            <v>-584.5</v>
          </cell>
          <cell r="BO41">
            <v>-542.98</v>
          </cell>
          <cell r="BP41">
            <v>-503.35</v>
          </cell>
          <cell r="BQ41">
            <v>-535.29</v>
          </cell>
          <cell r="BR41">
            <v>-493.3</v>
          </cell>
          <cell r="BS41">
            <v>-488.14</v>
          </cell>
          <cell r="BT41">
            <v>-549.41</v>
          </cell>
          <cell r="BU41">
            <v>-431.98</v>
          </cell>
          <cell r="BV41">
            <v>-551.88</v>
          </cell>
          <cell r="BW41">
            <v>-563.70000000000005</v>
          </cell>
          <cell r="BX41">
            <v>-563.61</v>
          </cell>
          <cell r="BY41">
            <v>-489.11</v>
          </cell>
          <cell r="BZ41">
            <v>-431.48</v>
          </cell>
          <cell r="CA41">
            <v>-450.35</v>
          </cell>
          <cell r="CB41">
            <v>-465.17</v>
          </cell>
          <cell r="CC41">
            <v>-468.61</v>
          </cell>
          <cell r="CD41">
            <v>-428.6</v>
          </cell>
          <cell r="CE41">
            <v>-428.27</v>
          </cell>
          <cell r="CF41">
            <v>-424.01</v>
          </cell>
          <cell r="CG41">
            <v>-389.5</v>
          </cell>
          <cell r="CH41">
            <v>-405.59</v>
          </cell>
          <cell r="CI41">
            <v>-594.28</v>
          </cell>
          <cell r="CJ41">
            <v>-1016.44</v>
          </cell>
          <cell r="CK41">
            <v>-656.41</v>
          </cell>
          <cell r="CL41">
            <v>-887.87</v>
          </cell>
          <cell r="CM41">
            <v>-750.47</v>
          </cell>
          <cell r="CN41">
            <v>-610.26</v>
          </cell>
          <cell r="CO41">
            <v>-706.95</v>
          </cell>
          <cell r="CP41">
            <v>-609.53</v>
          </cell>
          <cell r="CQ41">
            <v>-659.08</v>
          </cell>
          <cell r="CR41">
            <v>-795.86</v>
          </cell>
          <cell r="CS41">
            <v>-673.57</v>
          </cell>
          <cell r="CT41">
            <v>-825.26</v>
          </cell>
          <cell r="CU41">
            <v>-926.59</v>
          </cell>
          <cell r="CV41">
            <v>-1016.08</v>
          </cell>
          <cell r="CW41">
            <v>-637.28</v>
          </cell>
          <cell r="CX41">
            <v>-837.7</v>
          </cell>
          <cell r="CY41">
            <v>-739.84</v>
          </cell>
          <cell r="CZ41">
            <v>-698.46</v>
          </cell>
          <cell r="DA41">
            <v>-739.12</v>
          </cell>
          <cell r="DB41">
            <v>-738.21</v>
          </cell>
          <cell r="DC41">
            <v>-655.68</v>
          </cell>
          <cell r="DD41">
            <v>-699.25</v>
          </cell>
          <cell r="DE41">
            <v>-695.44</v>
          </cell>
          <cell r="DF41">
            <v>-618.42999999999995</v>
          </cell>
          <cell r="DG41">
            <v>-733.15</v>
          </cell>
          <cell r="DH41">
            <v>-8808.6400000000012</v>
          </cell>
        </row>
        <row r="42">
          <cell r="A42" t="str">
            <v>4810005</v>
          </cell>
          <cell r="B42" t="str">
            <v>4810005</v>
          </cell>
          <cell r="C42" t="str">
            <v>Comm St Light Fuel</v>
          </cell>
          <cell r="D42">
            <v>-6012.12</v>
          </cell>
          <cell r="E42">
            <v>-3873.9</v>
          </cell>
          <cell r="F42">
            <v>-3411.97</v>
          </cell>
          <cell r="G42">
            <v>-4747.46</v>
          </cell>
          <cell r="H42">
            <v>-4179.24</v>
          </cell>
          <cell r="I42">
            <v>-4193.3100000000004</v>
          </cell>
          <cell r="J42">
            <v>-3961.03</v>
          </cell>
          <cell r="K42">
            <v>-4113.33</v>
          </cell>
          <cell r="L42">
            <v>-3574.25</v>
          </cell>
          <cell r="M42">
            <v>-3534.63</v>
          </cell>
          <cell r="N42">
            <v>-3022.48</v>
          </cell>
          <cell r="O42">
            <v>-3952.95</v>
          </cell>
          <cell r="P42">
            <v>-4182.41</v>
          </cell>
          <cell r="Q42">
            <v>-2543.2600000000002</v>
          </cell>
          <cell r="R42">
            <v>-3125.28</v>
          </cell>
          <cell r="S42">
            <v>-2793.83</v>
          </cell>
          <cell r="T42">
            <v>-2688.9</v>
          </cell>
          <cell r="U42">
            <v>-4440.2299999999996</v>
          </cell>
          <cell r="V42">
            <v>-2970.93</v>
          </cell>
          <cell r="W42">
            <v>-3789.16</v>
          </cell>
          <cell r="X42">
            <v>-3682.59</v>
          </cell>
          <cell r="Y42">
            <v>-3059.5</v>
          </cell>
          <cell r="Z42">
            <v>-3005.38</v>
          </cell>
          <cell r="AA42">
            <v>-2780.39</v>
          </cell>
          <cell r="AB42">
            <v>-3113.58</v>
          </cell>
          <cell r="AC42">
            <v>-3092.1</v>
          </cell>
          <cell r="AD42">
            <v>-2536.88</v>
          </cell>
          <cell r="AE42">
            <v>-3295.92</v>
          </cell>
          <cell r="AF42">
            <v>-2783.59</v>
          </cell>
          <cell r="AG42">
            <v>-3323.88</v>
          </cell>
          <cell r="AH42">
            <v>-2887.78</v>
          </cell>
          <cell r="AI42">
            <v>-2851.45</v>
          </cell>
          <cell r="AJ42">
            <v>-2770.09</v>
          </cell>
          <cell r="AK42">
            <v>-1975.55</v>
          </cell>
          <cell r="AL42">
            <v>-2479.17</v>
          </cell>
          <cell r="AM42">
            <v>-2783.57</v>
          </cell>
          <cell r="AN42">
            <v>-3402.35</v>
          </cell>
          <cell r="AO42">
            <v>-2093.36</v>
          </cell>
          <cell r="AP42">
            <v>-2226.56</v>
          </cell>
          <cell r="AQ42">
            <v>-2297.5300000000002</v>
          </cell>
          <cell r="AR42">
            <v>-2255.36</v>
          </cell>
          <cell r="AS42">
            <v>-2220.77</v>
          </cell>
          <cell r="AT42">
            <v>-2403.52</v>
          </cell>
          <cell r="AU42">
            <v>-4572.07</v>
          </cell>
          <cell r="AV42">
            <v>-2447.54</v>
          </cell>
          <cell r="AW42">
            <v>-2525.2399999999998</v>
          </cell>
          <cell r="AX42">
            <v>-2511.14</v>
          </cell>
          <cell r="AY42">
            <v>-2246.3200000000002</v>
          </cell>
          <cell r="AZ42">
            <v>-3085.46</v>
          </cell>
          <cell r="BA42">
            <v>-2053.81</v>
          </cell>
          <cell r="BB42">
            <v>-2420.75</v>
          </cell>
          <cell r="BC42">
            <v>-2344.52</v>
          </cell>
          <cell r="BD42">
            <v>-2271.52</v>
          </cell>
          <cell r="BE42">
            <v>-2194.54</v>
          </cell>
          <cell r="BF42">
            <v>-2678.39</v>
          </cell>
          <cell r="BG42">
            <v>-2720.19</v>
          </cell>
          <cell r="BH42">
            <v>-2834.77</v>
          </cell>
          <cell r="BI42">
            <v>-2257.94</v>
          </cell>
          <cell r="BJ42">
            <v>-2832.69</v>
          </cell>
          <cell r="BK42">
            <v>-2579.9</v>
          </cell>
          <cell r="BL42">
            <v>-3015.16</v>
          </cell>
          <cell r="BM42">
            <v>-2593.54</v>
          </cell>
          <cell r="BN42">
            <v>-3131.62</v>
          </cell>
          <cell r="BO42">
            <v>-3189.55</v>
          </cell>
          <cell r="BP42">
            <v>-2851.94</v>
          </cell>
          <cell r="BQ42">
            <v>-3017.86</v>
          </cell>
          <cell r="BR42">
            <v>-2794.82</v>
          </cell>
          <cell r="BS42">
            <v>-2150.84</v>
          </cell>
          <cell r="BT42">
            <v>-2638.8</v>
          </cell>
          <cell r="BU42">
            <v>-2094.42</v>
          </cell>
          <cell r="BV42">
            <v>-2637.35</v>
          </cell>
          <cell r="BW42">
            <v>-2720.7</v>
          </cell>
          <cell r="BX42">
            <v>-2708.26</v>
          </cell>
          <cell r="BY42">
            <v>-2140.2199999999998</v>
          </cell>
          <cell r="BZ42">
            <v>-1847.23</v>
          </cell>
          <cell r="CA42">
            <v>-1961.92</v>
          </cell>
          <cell r="CB42">
            <v>-2019.11</v>
          </cell>
          <cell r="CC42">
            <v>-2039.49</v>
          </cell>
          <cell r="CD42">
            <v>-1875.27</v>
          </cell>
          <cell r="CE42">
            <v>-1862.61</v>
          </cell>
          <cell r="CF42">
            <v>-1848.73</v>
          </cell>
          <cell r="CG42">
            <v>-1869.24</v>
          </cell>
          <cell r="CH42">
            <v>-2040.99</v>
          </cell>
          <cell r="CI42">
            <v>-3054.72</v>
          </cell>
          <cell r="CJ42">
            <v>-2827.85</v>
          </cell>
          <cell r="CK42">
            <v>-2184.65</v>
          </cell>
          <cell r="CL42">
            <v>-3524.35</v>
          </cell>
          <cell r="CM42">
            <v>-2857.97</v>
          </cell>
          <cell r="CN42">
            <v>-2330.62</v>
          </cell>
          <cell r="CO42">
            <v>-2685.05</v>
          </cell>
          <cell r="CP42">
            <v>-2323.9699999999998</v>
          </cell>
          <cell r="CQ42">
            <v>-2508.33</v>
          </cell>
          <cell r="CR42">
            <v>-3025.79</v>
          </cell>
          <cell r="CS42">
            <v>-2559.4</v>
          </cell>
          <cell r="CT42">
            <v>-3135.75</v>
          </cell>
          <cell r="CU42">
            <v>-3524.3</v>
          </cell>
          <cell r="CV42">
            <v>-4433.78</v>
          </cell>
          <cell r="CW42">
            <v>-2612.7600000000002</v>
          </cell>
          <cell r="CX42">
            <v>-3445.1</v>
          </cell>
          <cell r="CY42">
            <v>-3048.31</v>
          </cell>
          <cell r="CZ42">
            <v>-2871.27</v>
          </cell>
          <cell r="DA42">
            <v>-3044.31</v>
          </cell>
          <cell r="DB42">
            <v>-3046.21</v>
          </cell>
          <cell r="DC42">
            <v>-4582.24</v>
          </cell>
          <cell r="DD42">
            <v>-4185.8900000000003</v>
          </cell>
          <cell r="DE42">
            <v>-3873.03</v>
          </cell>
          <cell r="DF42">
            <v>-1368.72</v>
          </cell>
          <cell r="DG42">
            <v>-2513.29</v>
          </cell>
          <cell r="DH42">
            <v>-39024.909999999996</v>
          </cell>
        </row>
        <row r="43">
          <cell r="A43" t="str">
            <v>4810008</v>
          </cell>
          <cell r="B43" t="str">
            <v>4810008</v>
          </cell>
          <cell r="C43" t="str">
            <v>GenSvc Small</v>
          </cell>
          <cell r="D43">
            <v>-427744.7</v>
          </cell>
          <cell r="E43">
            <v>-428746.82</v>
          </cell>
          <cell r="F43">
            <v>-347089.15</v>
          </cell>
          <cell r="G43">
            <v>-338523.72</v>
          </cell>
          <cell r="H43">
            <v>-314767.2</v>
          </cell>
          <cell r="I43">
            <v>-313600.05</v>
          </cell>
          <cell r="J43">
            <v>-298277.83</v>
          </cell>
          <cell r="K43">
            <v>-285995.21000000002</v>
          </cell>
          <cell r="L43">
            <v>-307859.01</v>
          </cell>
          <cell r="M43">
            <v>-303123.42</v>
          </cell>
          <cell r="N43">
            <v>-316036.01</v>
          </cell>
          <cell r="O43">
            <v>-371777.26</v>
          </cell>
          <cell r="P43">
            <v>-379536.13</v>
          </cell>
          <cell r="Q43">
            <v>-393481.42</v>
          </cell>
          <cell r="R43">
            <v>-376548.02</v>
          </cell>
          <cell r="S43">
            <v>-305252.15999999997</v>
          </cell>
          <cell r="T43">
            <v>-287186.7</v>
          </cell>
          <cell r="U43">
            <v>-313191.09000000003</v>
          </cell>
          <cell r="V43">
            <v>-286111.53000000003</v>
          </cell>
          <cell r="W43">
            <v>-296212.45</v>
          </cell>
          <cell r="X43">
            <v>-287623.42</v>
          </cell>
          <cell r="Y43">
            <v>-301128.14</v>
          </cell>
          <cell r="Z43">
            <v>-307092.65000000002</v>
          </cell>
          <cell r="AA43">
            <v>-331046.71000000002</v>
          </cell>
          <cell r="AB43">
            <v>-370625.01</v>
          </cell>
          <cell r="AC43">
            <v>-396280.57</v>
          </cell>
          <cell r="AD43">
            <v>-342217.73</v>
          </cell>
          <cell r="AE43">
            <v>-310966.46000000002</v>
          </cell>
          <cell r="AF43">
            <v>-302101.56</v>
          </cell>
          <cell r="AG43">
            <v>-294726.39</v>
          </cell>
          <cell r="AH43">
            <v>-275789.51</v>
          </cell>
          <cell r="AI43">
            <v>-278852.92</v>
          </cell>
          <cell r="AJ43">
            <v>-285377.42</v>
          </cell>
          <cell r="AK43">
            <v>-283351.03000000003</v>
          </cell>
          <cell r="AL43">
            <v>-299486.63</v>
          </cell>
          <cell r="AM43">
            <v>-327259.45</v>
          </cell>
          <cell r="AN43">
            <v>-342734.97</v>
          </cell>
          <cell r="AO43">
            <v>-329356.28000000003</v>
          </cell>
          <cell r="AP43">
            <v>-317465.06</v>
          </cell>
          <cell r="AQ43">
            <v>-311636.75</v>
          </cell>
          <cell r="AR43">
            <v>-290823.56</v>
          </cell>
          <cell r="AS43">
            <v>-283622.63</v>
          </cell>
          <cell r="AT43">
            <v>-277801.33</v>
          </cell>
          <cell r="AU43">
            <v>-278660.19</v>
          </cell>
          <cell r="AV43">
            <v>-386631.9</v>
          </cell>
          <cell r="AW43">
            <v>-164067.74</v>
          </cell>
          <cell r="AX43">
            <v>-343144.76</v>
          </cell>
          <cell r="AY43">
            <v>-361844.38</v>
          </cell>
          <cell r="AZ43">
            <v>-460618.68</v>
          </cell>
          <cell r="BA43">
            <v>-390713.59999999998</v>
          </cell>
          <cell r="BB43">
            <v>-304618.46999999997</v>
          </cell>
          <cell r="BC43">
            <v>-335179.86</v>
          </cell>
          <cell r="BD43">
            <v>-289866.95</v>
          </cell>
          <cell r="BE43">
            <v>-293450.18</v>
          </cell>
          <cell r="BF43">
            <v>-289550.89</v>
          </cell>
          <cell r="BG43">
            <v>-281826.5</v>
          </cell>
          <cell r="BH43">
            <v>-307560.73</v>
          </cell>
          <cell r="BI43">
            <v>-302892.65999999997</v>
          </cell>
          <cell r="BJ43">
            <v>-310698.96999999997</v>
          </cell>
          <cell r="BK43">
            <v>-319591.28999999998</v>
          </cell>
          <cell r="BL43">
            <v>-337807.41</v>
          </cell>
          <cell r="BM43">
            <v>-339255.68</v>
          </cell>
          <cell r="BN43">
            <v>-320061.96999999997</v>
          </cell>
          <cell r="BO43">
            <v>-302594.5</v>
          </cell>
          <cell r="BP43">
            <v>-290821.34999999998</v>
          </cell>
          <cell r="BQ43">
            <v>-280405.56</v>
          </cell>
          <cell r="BR43">
            <v>-249484.19</v>
          </cell>
          <cell r="BS43">
            <v>-261198.44</v>
          </cell>
          <cell r="BT43">
            <v>-276743.15999999997</v>
          </cell>
          <cell r="BU43">
            <v>-254104.24</v>
          </cell>
          <cell r="BV43">
            <v>-288688.33</v>
          </cell>
          <cell r="BW43">
            <v>-299825.84999999998</v>
          </cell>
          <cell r="BX43">
            <v>-324960.31</v>
          </cell>
          <cell r="BY43">
            <v>-318712.65000000002</v>
          </cell>
          <cell r="BZ43">
            <v>-294312.67</v>
          </cell>
          <cell r="CA43">
            <v>-253074.24</v>
          </cell>
          <cell r="CB43">
            <v>-249669.54</v>
          </cell>
          <cell r="CC43">
            <v>-267683.61</v>
          </cell>
          <cell r="CD43">
            <v>-253659.68</v>
          </cell>
          <cell r="CE43">
            <v>-259222.72</v>
          </cell>
          <cell r="CF43">
            <v>-254430.45</v>
          </cell>
          <cell r="CG43">
            <v>-263651.67</v>
          </cell>
          <cell r="CH43">
            <v>-274490.99</v>
          </cell>
          <cell r="CI43">
            <v>-312427.46000000002</v>
          </cell>
          <cell r="CJ43">
            <v>-456030.56</v>
          </cell>
          <cell r="CK43">
            <v>-382644.42</v>
          </cell>
          <cell r="CL43">
            <v>-376886.3</v>
          </cell>
          <cell r="CM43">
            <v>-367759.69</v>
          </cell>
          <cell r="CN43">
            <v>-339393.39</v>
          </cell>
          <cell r="CO43">
            <v>-335028.46999999997</v>
          </cell>
          <cell r="CP43">
            <v>-342380.14</v>
          </cell>
          <cell r="CQ43">
            <v>-333261.81</v>
          </cell>
          <cell r="CR43">
            <v>-470327.86</v>
          </cell>
          <cell r="CS43">
            <v>-176321.15</v>
          </cell>
          <cell r="CT43">
            <v>-398309.61</v>
          </cell>
          <cell r="CU43">
            <v>-405643.61</v>
          </cell>
          <cell r="CV43">
            <v>-425048.38</v>
          </cell>
          <cell r="CW43">
            <v>-432496.1</v>
          </cell>
          <cell r="CX43">
            <v>-380575.36</v>
          </cell>
          <cell r="CY43">
            <v>-368154.05</v>
          </cell>
          <cell r="CZ43">
            <v>-363048.46</v>
          </cell>
          <cell r="DA43">
            <v>-349372.38</v>
          </cell>
          <cell r="DB43">
            <v>-332452.58</v>
          </cell>
          <cell r="DC43">
            <v>-332650.64</v>
          </cell>
          <cell r="DD43">
            <v>-345668.54</v>
          </cell>
          <cell r="DE43">
            <v>-371932.82</v>
          </cell>
          <cell r="DF43">
            <v>-358637.24</v>
          </cell>
          <cell r="DG43">
            <v>-394264.75</v>
          </cell>
          <cell r="DH43">
            <v>-4454301.3</v>
          </cell>
        </row>
        <row r="44">
          <cell r="A44" t="str">
            <v>4810009</v>
          </cell>
          <cell r="B44" t="str">
            <v>4810009</v>
          </cell>
          <cell r="C44" t="str">
            <v>GenSvc Small Fuel</v>
          </cell>
          <cell r="D44">
            <v>-629383.47</v>
          </cell>
          <cell r="E44">
            <v>-571235.17000000004</v>
          </cell>
          <cell r="F44">
            <v>-349287.87</v>
          </cell>
          <cell r="G44">
            <v>-380897.29</v>
          </cell>
          <cell r="H44">
            <v>-286213.93</v>
          </cell>
          <cell r="I44">
            <v>-309521.48</v>
          </cell>
          <cell r="J44">
            <v>-262200.7</v>
          </cell>
          <cell r="K44">
            <v>-242344.32000000001</v>
          </cell>
          <cell r="L44">
            <v>-279383.25</v>
          </cell>
          <cell r="M44">
            <v>-256871.96</v>
          </cell>
          <cell r="N44">
            <v>-274988.96999999997</v>
          </cell>
          <cell r="O44">
            <v>-403439.88</v>
          </cell>
          <cell r="P44">
            <v>-490375.53</v>
          </cell>
          <cell r="Q44">
            <v>-479035.44</v>
          </cell>
          <cell r="R44">
            <v>-369641.49</v>
          </cell>
          <cell r="S44">
            <v>-266559.95</v>
          </cell>
          <cell r="T44">
            <v>-232094.13</v>
          </cell>
          <cell r="U44">
            <v>-306542.5</v>
          </cell>
          <cell r="V44">
            <v>-230818.1</v>
          </cell>
          <cell r="W44">
            <v>-268749.94</v>
          </cell>
          <cell r="X44">
            <v>-250878.91</v>
          </cell>
          <cell r="Y44">
            <v>-260509.42</v>
          </cell>
          <cell r="Z44">
            <v>-296656.43</v>
          </cell>
          <cell r="AA44">
            <v>-345059.66</v>
          </cell>
          <cell r="AB44">
            <v>-497628.94</v>
          </cell>
          <cell r="AC44">
            <v>-558925.14</v>
          </cell>
          <cell r="AD44">
            <v>-385935.3</v>
          </cell>
          <cell r="AE44">
            <v>-337242.17</v>
          </cell>
          <cell r="AF44">
            <v>-308389.77</v>
          </cell>
          <cell r="AG44">
            <v>-276275.78000000003</v>
          </cell>
          <cell r="AH44">
            <v>-214287.78</v>
          </cell>
          <cell r="AI44">
            <v>-232312.45</v>
          </cell>
          <cell r="AJ44">
            <v>-229622.29</v>
          </cell>
          <cell r="AK44">
            <v>-230542.13</v>
          </cell>
          <cell r="AL44">
            <v>-251110.26</v>
          </cell>
          <cell r="AM44">
            <v>-314360.86</v>
          </cell>
          <cell r="AN44">
            <v>-355604.84</v>
          </cell>
          <cell r="AO44">
            <v>-347577.44</v>
          </cell>
          <cell r="AP44">
            <v>-313369.46000000002</v>
          </cell>
          <cell r="AQ44">
            <v>-305029.25</v>
          </cell>
          <cell r="AR44">
            <v>-251933.59</v>
          </cell>
          <cell r="AS44">
            <v>-229440.06</v>
          </cell>
          <cell r="AT44">
            <v>-215646.46</v>
          </cell>
          <cell r="AU44">
            <v>-239618.81</v>
          </cell>
          <cell r="AV44">
            <v>-541916.64</v>
          </cell>
          <cell r="AW44">
            <v>46926.53</v>
          </cell>
          <cell r="AX44">
            <v>-418441.59</v>
          </cell>
          <cell r="AY44">
            <v>-455906.44</v>
          </cell>
          <cell r="AZ44">
            <v>-811729.77</v>
          </cell>
          <cell r="BA44">
            <v>-606627.83999999997</v>
          </cell>
          <cell r="BB44">
            <v>-307416.95</v>
          </cell>
          <cell r="BC44">
            <v>-406831.82</v>
          </cell>
          <cell r="BD44">
            <v>-288257.63</v>
          </cell>
          <cell r="BE44">
            <v>-277192.25</v>
          </cell>
          <cell r="BF44">
            <v>-264752.46999999997</v>
          </cell>
          <cell r="BG44">
            <v>-252849.31</v>
          </cell>
          <cell r="BH44">
            <v>-316054.86</v>
          </cell>
          <cell r="BI44">
            <v>-281837.68</v>
          </cell>
          <cell r="BJ44">
            <v>-309509.2</v>
          </cell>
          <cell r="BK44">
            <v>-333702.94</v>
          </cell>
          <cell r="BL44">
            <v>-462712.08</v>
          </cell>
          <cell r="BM44">
            <v>-452040.11</v>
          </cell>
          <cell r="BN44">
            <v>-444503.92</v>
          </cell>
          <cell r="BO44">
            <v>-430016.99</v>
          </cell>
          <cell r="BP44">
            <v>-373860.01</v>
          </cell>
          <cell r="BQ44">
            <v>-352727.63</v>
          </cell>
          <cell r="BR44">
            <v>-258467.51</v>
          </cell>
          <cell r="BS44">
            <v>-227121.95</v>
          </cell>
          <cell r="BT44">
            <v>-286168.46000000002</v>
          </cell>
          <cell r="BU44">
            <v>-230887.63</v>
          </cell>
          <cell r="BV44">
            <v>-320531.32</v>
          </cell>
          <cell r="BW44">
            <v>-352382.59</v>
          </cell>
          <cell r="BX44">
            <v>-407826.69</v>
          </cell>
          <cell r="BY44">
            <v>-372106.28</v>
          </cell>
          <cell r="BZ44">
            <v>-303060.34000000003</v>
          </cell>
          <cell r="CA44">
            <v>-211291.28</v>
          </cell>
          <cell r="CB44">
            <v>-200168.6</v>
          </cell>
          <cell r="CC44">
            <v>-243330.7</v>
          </cell>
          <cell r="CD44">
            <v>-211906.81</v>
          </cell>
          <cell r="CE44">
            <v>-222282.64</v>
          </cell>
          <cell r="CF44">
            <v>-208996.44</v>
          </cell>
          <cell r="CG44">
            <v>-255967.33</v>
          </cell>
          <cell r="CH44">
            <v>-301029.96000000002</v>
          </cell>
          <cell r="CI44">
            <v>-416799.47</v>
          </cell>
          <cell r="CJ44">
            <v>-468534.66</v>
          </cell>
          <cell r="CK44">
            <v>-393033.29</v>
          </cell>
          <cell r="CL44">
            <v>-463685.05</v>
          </cell>
          <cell r="CM44">
            <v>-412246.02</v>
          </cell>
          <cell r="CN44">
            <v>-340158.92</v>
          </cell>
          <cell r="CO44">
            <v>-327697.23</v>
          </cell>
          <cell r="CP44">
            <v>-296359.56</v>
          </cell>
          <cell r="CQ44">
            <v>-287366.76</v>
          </cell>
          <cell r="CR44">
            <v>-654062.79</v>
          </cell>
          <cell r="CS44">
            <v>123257.36</v>
          </cell>
          <cell r="CT44">
            <v>-457334.98</v>
          </cell>
          <cell r="CU44">
            <v>-475629.01</v>
          </cell>
          <cell r="CV44">
            <v>-602612.07999999996</v>
          </cell>
          <cell r="CW44">
            <v>-600195.71</v>
          </cell>
          <cell r="CX44">
            <v>-446158.76</v>
          </cell>
          <cell r="CY44">
            <v>-409064.65</v>
          </cell>
          <cell r="CZ44">
            <v>-400810.68</v>
          </cell>
          <cell r="DA44">
            <v>-353756.58</v>
          </cell>
          <cell r="DB44">
            <v>-297075.37</v>
          </cell>
          <cell r="DC44">
            <v>-510654.98</v>
          </cell>
          <cell r="DD44">
            <v>-492371.23</v>
          </cell>
          <cell r="DE44">
            <v>-565409.31000000006</v>
          </cell>
          <cell r="DF44">
            <v>-213140.87</v>
          </cell>
          <cell r="DG44">
            <v>-402403.17</v>
          </cell>
          <cell r="DH44">
            <v>-5293653.3900000006</v>
          </cell>
        </row>
        <row r="45">
          <cell r="A45" t="str">
            <v>4810033</v>
          </cell>
          <cell r="B45" t="str">
            <v>4810033</v>
          </cell>
          <cell r="C45" t="str">
            <v>Comm Gas Heat Pump</v>
          </cell>
          <cell r="BU45">
            <v>0</v>
          </cell>
          <cell r="BV45">
            <v>-149.66999999999999</v>
          </cell>
          <cell r="BW45">
            <v>-36.51</v>
          </cell>
          <cell r="BX45">
            <v>-45</v>
          </cell>
          <cell r="BY45">
            <v>-64.040000000000006</v>
          </cell>
          <cell r="BZ45">
            <v>-73.47</v>
          </cell>
          <cell r="CA45">
            <v>-70.2</v>
          </cell>
          <cell r="CB45">
            <v>-85.66</v>
          </cell>
          <cell r="CC45">
            <v>-102.72</v>
          </cell>
          <cell r="CD45">
            <v>-92.06</v>
          </cell>
          <cell r="CE45">
            <v>-107.64</v>
          </cell>
          <cell r="CF45">
            <v>-94.82</v>
          </cell>
          <cell r="CG45">
            <v>-85.57</v>
          </cell>
          <cell r="CH45">
            <v>-113.73</v>
          </cell>
          <cell r="CI45">
            <v>-76.260000000000005</v>
          </cell>
          <cell r="CJ45">
            <v>-50.27</v>
          </cell>
          <cell r="CK45">
            <v>-58.02</v>
          </cell>
          <cell r="CL45">
            <v>-68.569999999999993</v>
          </cell>
          <cell r="CM45">
            <v>-75.09</v>
          </cell>
          <cell r="CN45">
            <v>-88.39</v>
          </cell>
          <cell r="CO45">
            <v>-110.56</v>
          </cell>
          <cell r="CP45">
            <v>-118.38</v>
          </cell>
          <cell r="CQ45">
            <v>-103.83</v>
          </cell>
          <cell r="CR45">
            <v>-74.66</v>
          </cell>
          <cell r="CS45">
            <v>-79.86</v>
          </cell>
          <cell r="CT45">
            <v>-45</v>
          </cell>
          <cell r="CU45">
            <v>-60.43</v>
          </cell>
          <cell r="CV45">
            <v>-52.69</v>
          </cell>
          <cell r="CW45">
            <v>-58.76</v>
          </cell>
          <cell r="CX45">
            <v>-66.06</v>
          </cell>
          <cell r="CY45">
            <v>-82.23</v>
          </cell>
          <cell r="CZ45">
            <v>-94.33</v>
          </cell>
          <cell r="DA45">
            <v>-114.87</v>
          </cell>
          <cell r="DB45">
            <v>-109.62</v>
          </cell>
          <cell r="DC45">
            <v>-112.52</v>
          </cell>
          <cell r="DD45">
            <v>-113.52</v>
          </cell>
          <cell r="DE45">
            <v>-97.4</v>
          </cell>
          <cell r="DF45">
            <v>-96.23</v>
          </cell>
          <cell r="DG45">
            <v>-69.72</v>
          </cell>
          <cell r="DH45">
            <v>-1067.9499999999998</v>
          </cell>
        </row>
        <row r="46">
          <cell r="A46" t="str">
            <v>4810034</v>
          </cell>
          <cell r="B46" t="str">
            <v>4810034</v>
          </cell>
          <cell r="C46" t="str">
            <v>Comm GasHeatPmp Fuel</v>
          </cell>
          <cell r="BU46">
            <v>0</v>
          </cell>
          <cell r="BV46">
            <v>0</v>
          </cell>
          <cell r="BW46">
            <v>-14.03</v>
          </cell>
          <cell r="BX46">
            <v>-51.55</v>
          </cell>
          <cell r="BY46">
            <v>-127.26</v>
          </cell>
          <cell r="BZ46">
            <v>-160.09</v>
          </cell>
          <cell r="CA46">
            <v>-147.06</v>
          </cell>
          <cell r="CB46">
            <v>-209.31</v>
          </cell>
          <cell r="CC46">
            <v>-282.89999999999998</v>
          </cell>
          <cell r="CD46">
            <v>-238.63</v>
          </cell>
          <cell r="CE46">
            <v>-297.01</v>
          </cell>
          <cell r="CF46">
            <v>-233.76</v>
          </cell>
          <cell r="CG46">
            <v>-221.59</v>
          </cell>
          <cell r="CH46">
            <v>-212.04</v>
          </cell>
          <cell r="CI46">
            <v>-45.51</v>
          </cell>
          <cell r="CJ46">
            <v>-24.49</v>
          </cell>
          <cell r="CK46">
            <v>-60.46</v>
          </cell>
          <cell r="CL46">
            <v>-125.84</v>
          </cell>
          <cell r="CM46">
            <v>-160.71</v>
          </cell>
          <cell r="CN46">
            <v>-231.69</v>
          </cell>
          <cell r="CO46">
            <v>-350.1</v>
          </cell>
          <cell r="CP46">
            <v>-391.87</v>
          </cell>
          <cell r="CQ46">
            <v>-314.19</v>
          </cell>
          <cell r="CR46">
            <v>-158.4</v>
          </cell>
          <cell r="CS46">
            <v>-186.15</v>
          </cell>
          <cell r="CT46">
            <v>0</v>
          </cell>
          <cell r="CU46">
            <v>-82.39</v>
          </cell>
          <cell r="CV46">
            <v>-44.42</v>
          </cell>
          <cell r="CW46">
            <v>-79.55</v>
          </cell>
          <cell r="CX46">
            <v>-121.7</v>
          </cell>
          <cell r="CY46">
            <v>-215.18</v>
          </cell>
          <cell r="CZ46">
            <v>-285.08999999999997</v>
          </cell>
          <cell r="DA46">
            <v>-403.84</v>
          </cell>
          <cell r="DB46">
            <v>-373.48</v>
          </cell>
          <cell r="DC46">
            <v>-567.02</v>
          </cell>
          <cell r="DD46">
            <v>-575.41999999999996</v>
          </cell>
          <cell r="DE46">
            <v>-418.7</v>
          </cell>
          <cell r="DF46">
            <v>-246.01</v>
          </cell>
          <cell r="DG46">
            <v>-118.72</v>
          </cell>
          <cell r="DH46">
            <v>-3449.1299999999997</v>
          </cell>
        </row>
        <row r="47">
          <cell r="A47" t="str">
            <v>4810035</v>
          </cell>
          <cell r="B47" t="str">
            <v>4810035</v>
          </cell>
          <cell r="C47" t="str">
            <v>Comm Standby Gen</v>
          </cell>
          <cell r="D47">
            <v>-33578.800000000003</v>
          </cell>
          <cell r="E47">
            <v>-31810.82</v>
          </cell>
          <cell r="F47">
            <v>-31323.78</v>
          </cell>
          <cell r="G47">
            <v>-31677.81</v>
          </cell>
          <cell r="H47">
            <v>-31438.35</v>
          </cell>
          <cell r="I47">
            <v>-30803.64</v>
          </cell>
          <cell r="J47">
            <v>-32243.88</v>
          </cell>
          <cell r="K47">
            <v>-31380.44</v>
          </cell>
          <cell r="L47">
            <v>-31160.62</v>
          </cell>
          <cell r="M47">
            <v>-30457.47</v>
          </cell>
          <cell r="N47">
            <v>-30982.69</v>
          </cell>
          <cell r="O47">
            <v>-31372.91</v>
          </cell>
          <cell r="P47">
            <v>-31809.23</v>
          </cell>
          <cell r="Q47">
            <v>-31830.42</v>
          </cell>
          <cell r="R47">
            <v>-32285.08</v>
          </cell>
          <cell r="S47">
            <v>-31753.91</v>
          </cell>
          <cell r="T47">
            <v>-31318.63</v>
          </cell>
          <cell r="U47">
            <v>-31992.89</v>
          </cell>
          <cell r="V47">
            <v>-30732.89</v>
          </cell>
          <cell r="W47">
            <v>-31388.35</v>
          </cell>
          <cell r="X47">
            <v>-33162.11</v>
          </cell>
          <cell r="Y47">
            <v>-34703.97</v>
          </cell>
          <cell r="Z47">
            <v>-30137.3</v>
          </cell>
          <cell r="AA47">
            <v>-30453.96</v>
          </cell>
          <cell r="AB47">
            <v>-33282.14</v>
          </cell>
          <cell r="AC47">
            <v>-30803.040000000001</v>
          </cell>
          <cell r="AD47">
            <v>-29854.06</v>
          </cell>
          <cell r="AE47">
            <v>-30220.18</v>
          </cell>
          <cell r="AF47">
            <v>-31544.959999999999</v>
          </cell>
          <cell r="AG47">
            <v>-35991.660000000003</v>
          </cell>
          <cell r="AH47">
            <v>-30360.26</v>
          </cell>
          <cell r="AI47">
            <v>-31706.720000000001</v>
          </cell>
          <cell r="AJ47">
            <v>-31537.16</v>
          </cell>
          <cell r="AK47">
            <v>-30974.74</v>
          </cell>
          <cell r="AL47">
            <v>-30374</v>
          </cell>
          <cell r="AM47">
            <v>-30283.3</v>
          </cell>
          <cell r="AN47">
            <v>-29767.67</v>
          </cell>
          <cell r="AO47">
            <v>-30246.73</v>
          </cell>
          <cell r="AP47">
            <v>-30316.16</v>
          </cell>
          <cell r="AQ47">
            <v>-30224.94</v>
          </cell>
          <cell r="AR47">
            <v>-30215.66</v>
          </cell>
          <cell r="AS47">
            <v>-30509.49</v>
          </cell>
          <cell r="AT47">
            <v>-30247.07</v>
          </cell>
          <cell r="AU47">
            <v>-31082.49</v>
          </cell>
          <cell r="AV47">
            <v>-40314.57</v>
          </cell>
          <cell r="AW47">
            <v>-42276.42</v>
          </cell>
          <cell r="AX47">
            <v>-42406.55</v>
          </cell>
          <cell r="AY47">
            <v>-31622.51</v>
          </cell>
          <cell r="AZ47">
            <v>-32297.360000000001</v>
          </cell>
          <cell r="BA47">
            <v>-33184.519999999997</v>
          </cell>
          <cell r="BB47">
            <v>-33816.36</v>
          </cell>
          <cell r="BC47">
            <v>-31785.86</v>
          </cell>
          <cell r="BD47">
            <v>-31545.69</v>
          </cell>
          <cell r="BE47">
            <v>-32872.239999999998</v>
          </cell>
          <cell r="BF47">
            <v>-31708.03</v>
          </cell>
          <cell r="BG47">
            <v>-32027.91</v>
          </cell>
          <cell r="BH47">
            <v>-33220.21</v>
          </cell>
          <cell r="BI47">
            <v>-32810.480000000003</v>
          </cell>
          <cell r="BJ47">
            <v>-37515.42</v>
          </cell>
          <cell r="BK47">
            <v>-35524.43</v>
          </cell>
          <cell r="BL47">
            <v>-32288.67</v>
          </cell>
          <cell r="BM47">
            <v>-31027.67</v>
          </cell>
          <cell r="BN47">
            <v>-31742.880000000001</v>
          </cell>
          <cell r="BO47">
            <v>-32776.71</v>
          </cell>
          <cell r="BP47">
            <v>-31696.38</v>
          </cell>
          <cell r="BQ47">
            <v>-31617.46</v>
          </cell>
          <cell r="BR47">
            <v>-32326.13</v>
          </cell>
          <cell r="BS47">
            <v>-32170.99</v>
          </cell>
          <cell r="BT47">
            <v>-34513.69</v>
          </cell>
          <cell r="BU47">
            <v>-35577.269999999997</v>
          </cell>
          <cell r="BV47">
            <v>-35289.870000000003</v>
          </cell>
          <cell r="BW47">
            <v>-35345.870000000003</v>
          </cell>
          <cell r="BX47">
            <v>-34910.050000000003</v>
          </cell>
          <cell r="BY47">
            <v>-35994.39</v>
          </cell>
          <cell r="BZ47">
            <v>-35953.449999999997</v>
          </cell>
          <cell r="CA47">
            <v>-34022.639999999999</v>
          </cell>
          <cell r="CB47">
            <v>-33264.519999999997</v>
          </cell>
          <cell r="CC47">
            <v>-34566.839999999997</v>
          </cell>
          <cell r="CD47">
            <v>-34208.46</v>
          </cell>
          <cell r="CE47">
            <v>-34551.96</v>
          </cell>
          <cell r="CF47">
            <v>-34661.839999999997</v>
          </cell>
          <cell r="CG47">
            <v>-35552.300000000003</v>
          </cell>
          <cell r="CH47">
            <v>-36038.29</v>
          </cell>
          <cell r="CI47">
            <v>-35661.69</v>
          </cell>
          <cell r="CJ47">
            <v>-49657.19</v>
          </cell>
          <cell r="CK47">
            <v>-48347.05</v>
          </cell>
          <cell r="CL47">
            <v>-49743.46</v>
          </cell>
          <cell r="CM47">
            <v>-49420.26</v>
          </cell>
          <cell r="CN47">
            <v>-48063.519999999997</v>
          </cell>
          <cell r="CO47">
            <v>-49764.92</v>
          </cell>
          <cell r="CP47">
            <v>-47157.35</v>
          </cell>
          <cell r="CQ47">
            <v>-48443.199999999997</v>
          </cell>
          <cell r="CR47">
            <v>-48899.53</v>
          </cell>
          <cell r="CS47">
            <v>-49523.45</v>
          </cell>
          <cell r="CT47">
            <v>-50595.53</v>
          </cell>
          <cell r="CU47">
            <v>-49034.63</v>
          </cell>
          <cell r="CV47">
            <v>-47454.73</v>
          </cell>
          <cell r="CW47">
            <v>-48417.93</v>
          </cell>
          <cell r="CX47">
            <v>-51155.45</v>
          </cell>
          <cell r="CY47">
            <v>-49536.86</v>
          </cell>
          <cell r="CZ47">
            <v>-50698.93</v>
          </cell>
          <cell r="DA47">
            <v>-48370.16</v>
          </cell>
          <cell r="DB47">
            <v>-47796.91</v>
          </cell>
          <cell r="DC47">
            <v>-47808.39</v>
          </cell>
          <cell r="DD47">
            <v>-48023.35</v>
          </cell>
          <cell r="DE47">
            <v>-55205.85</v>
          </cell>
          <cell r="DF47">
            <v>-58271.1</v>
          </cell>
          <cell r="DG47">
            <v>-50269.46</v>
          </cell>
          <cell r="DH47">
            <v>-603009.11999999988</v>
          </cell>
        </row>
        <row r="48">
          <cell r="A48" t="str">
            <v>4810036</v>
          </cell>
          <cell r="B48" t="str">
            <v>4810036</v>
          </cell>
          <cell r="C48" t="str">
            <v>Comm Standby GenFuel</v>
          </cell>
          <cell r="D48">
            <v>-8497.65</v>
          </cell>
          <cell r="E48">
            <v>-7445.92</v>
          </cell>
          <cell r="F48">
            <v>-6342.15</v>
          </cell>
          <cell r="G48">
            <v>-7047.43</v>
          </cell>
          <cell r="H48">
            <v>-5749.5</v>
          </cell>
          <cell r="I48">
            <v>-6608.48</v>
          </cell>
          <cell r="J48">
            <v>-8919.74</v>
          </cell>
          <cell r="K48">
            <v>-7053.2</v>
          </cell>
          <cell r="L48">
            <v>-6922.81</v>
          </cell>
          <cell r="M48">
            <v>-4944.2299999999996</v>
          </cell>
          <cell r="N48">
            <v>-5135.38</v>
          </cell>
          <cell r="O48">
            <v>-5722.67</v>
          </cell>
          <cell r="P48">
            <v>-7486.43</v>
          </cell>
          <cell r="Q48">
            <v>-7031.26</v>
          </cell>
          <cell r="R48">
            <v>-6370</v>
          </cell>
          <cell r="S48">
            <v>-6566.88</v>
          </cell>
          <cell r="T48">
            <v>-5949.62</v>
          </cell>
          <cell r="U48">
            <v>-7198.06</v>
          </cell>
          <cell r="V48">
            <v>-4298.22</v>
          </cell>
          <cell r="W48">
            <v>-5459.77</v>
          </cell>
          <cell r="X48">
            <v>-11717.28</v>
          </cell>
          <cell r="Y48">
            <v>-6730.51</v>
          </cell>
          <cell r="Z48">
            <v>-5751.63</v>
          </cell>
          <cell r="AA48">
            <v>-4599.1000000000004</v>
          </cell>
          <cell r="AB48">
            <v>-13917.34</v>
          </cell>
          <cell r="AC48">
            <v>-7155.62</v>
          </cell>
          <cell r="AD48">
            <v>-4967.62</v>
          </cell>
          <cell r="AE48">
            <v>-6455.74</v>
          </cell>
          <cell r="AF48">
            <v>-9266.99</v>
          </cell>
          <cell r="AG48">
            <v>-12763.13</v>
          </cell>
          <cell r="AH48">
            <v>-6185.13</v>
          </cell>
          <cell r="AI48">
            <v>-7719.86</v>
          </cell>
          <cell r="AJ48">
            <v>-8944.44</v>
          </cell>
          <cell r="AK48">
            <v>-6525.97</v>
          </cell>
          <cell r="AL48">
            <v>-5156.84</v>
          </cell>
          <cell r="AM48">
            <v>-3988.99</v>
          </cell>
          <cell r="AN48">
            <v>-4137.57</v>
          </cell>
          <cell r="AO48">
            <v>-5592.35</v>
          </cell>
          <cell r="AP48">
            <v>-4999.3599999999997</v>
          </cell>
          <cell r="AQ48">
            <v>-6690.22</v>
          </cell>
          <cell r="AR48">
            <v>-4745.29</v>
          </cell>
          <cell r="AS48">
            <v>-5263.11</v>
          </cell>
          <cell r="AT48">
            <v>-7425.33</v>
          </cell>
          <cell r="AU48">
            <v>-6868.21</v>
          </cell>
          <cell r="AV48">
            <v>-33758.53</v>
          </cell>
          <cell r="AW48">
            <v>-41459.57</v>
          </cell>
          <cell r="AX48">
            <v>-39413.58</v>
          </cell>
          <cell r="AY48">
            <v>-6321.98</v>
          </cell>
          <cell r="AZ48">
            <v>-9112.17</v>
          </cell>
          <cell r="BA48">
            <v>-13370.81</v>
          </cell>
          <cell r="BB48">
            <v>-12282.37</v>
          </cell>
          <cell r="BC48">
            <v>-8131.96</v>
          </cell>
          <cell r="BD48">
            <v>-10203.75</v>
          </cell>
          <cell r="BE48">
            <v>-10526.12</v>
          </cell>
          <cell r="BF48">
            <v>-6183.54</v>
          </cell>
          <cell r="BG48">
            <v>-7128.79</v>
          </cell>
          <cell r="BH48">
            <v>-8504.6299999999992</v>
          </cell>
          <cell r="BI48">
            <v>-8146.05</v>
          </cell>
          <cell r="BJ48">
            <v>-19448.18</v>
          </cell>
          <cell r="BK48">
            <v>-10254.52</v>
          </cell>
          <cell r="BL48">
            <v>-10012.11</v>
          </cell>
          <cell r="BM48">
            <v>-10148.959999999999</v>
          </cell>
          <cell r="BN48">
            <v>-11130.13</v>
          </cell>
          <cell r="BO48">
            <v>-11415.81</v>
          </cell>
          <cell r="BP48">
            <v>-11693.3</v>
          </cell>
          <cell r="BQ48">
            <v>-10564.4</v>
          </cell>
          <cell r="BR48">
            <v>-11494.5</v>
          </cell>
          <cell r="BS48">
            <v>-9471.9699999999993</v>
          </cell>
          <cell r="BT48">
            <v>-11396.47</v>
          </cell>
          <cell r="BU48">
            <v>-10238.1</v>
          </cell>
          <cell r="BV48">
            <v>-11935.43</v>
          </cell>
          <cell r="BW48">
            <v>-11555.68</v>
          </cell>
          <cell r="BX48">
            <v>-11285.71</v>
          </cell>
          <cell r="BY48">
            <v>-11449.19</v>
          </cell>
          <cell r="BZ48">
            <v>-11549.33</v>
          </cell>
          <cell r="CA48">
            <v>-8276.64</v>
          </cell>
          <cell r="CB48">
            <v>-5934.78</v>
          </cell>
          <cell r="CC48">
            <v>-8221.0300000000007</v>
          </cell>
          <cell r="CD48">
            <v>-7936.38</v>
          </cell>
          <cell r="CE48">
            <v>-9480.7900000000009</v>
          </cell>
          <cell r="CF48">
            <v>-9446.0300000000007</v>
          </cell>
          <cell r="CG48">
            <v>-10759.51</v>
          </cell>
          <cell r="CH48">
            <v>-13188.52</v>
          </cell>
          <cell r="CI48">
            <v>-12994.66</v>
          </cell>
          <cell r="CJ48">
            <v>-13373.64</v>
          </cell>
          <cell r="CK48">
            <v>-13395.21</v>
          </cell>
          <cell r="CL48">
            <v>-16399.400000000001</v>
          </cell>
          <cell r="CM48">
            <v>-15934.4</v>
          </cell>
          <cell r="CN48">
            <v>-14455.51</v>
          </cell>
          <cell r="CO48">
            <v>-13585</v>
          </cell>
          <cell r="CP48">
            <v>-13199.18</v>
          </cell>
          <cell r="CQ48">
            <v>-13707.52</v>
          </cell>
          <cell r="CR48">
            <v>-13449.98</v>
          </cell>
          <cell r="CS48">
            <v>-15218.32</v>
          </cell>
          <cell r="CT48">
            <v>-14609.31</v>
          </cell>
          <cell r="CU48">
            <v>-14787.73</v>
          </cell>
          <cell r="CV48">
            <v>-15603.85</v>
          </cell>
          <cell r="CW48">
            <v>-16886.900000000001</v>
          </cell>
          <cell r="CX48">
            <v>-21791.56</v>
          </cell>
          <cell r="CY48">
            <v>-16817.169999999998</v>
          </cell>
          <cell r="CZ48">
            <v>-18436.73</v>
          </cell>
          <cell r="DA48">
            <v>-14301.18</v>
          </cell>
          <cell r="DB48">
            <v>-14176.46</v>
          </cell>
          <cell r="DC48">
            <v>-22812.1</v>
          </cell>
          <cell r="DD48">
            <v>-21925.26</v>
          </cell>
          <cell r="DE48">
            <v>-57951.199999999997</v>
          </cell>
          <cell r="DF48">
            <v>-37788.07</v>
          </cell>
          <cell r="DG48">
            <v>-18826.919999999998</v>
          </cell>
          <cell r="DH48">
            <v>-277317.39999999997</v>
          </cell>
        </row>
        <row r="49">
          <cell r="A49" t="str">
            <v>4810050</v>
          </cell>
          <cell r="B49" t="str">
            <v>4810050</v>
          </cell>
          <cell r="C49" t="str">
            <v>GenSvc Lg Vol 1</v>
          </cell>
          <cell r="D49">
            <v>-619018.44999999995</v>
          </cell>
          <cell r="E49">
            <v>-572101.93000000005</v>
          </cell>
          <cell r="F49">
            <v>-492344.06</v>
          </cell>
          <cell r="G49">
            <v>-496938.94</v>
          </cell>
          <cell r="H49">
            <v>-428869.08</v>
          </cell>
          <cell r="I49">
            <v>-439232.25</v>
          </cell>
          <cell r="J49">
            <v>-409937.04</v>
          </cell>
          <cell r="K49">
            <v>-388666.61</v>
          </cell>
          <cell r="L49">
            <v>-432645.12</v>
          </cell>
          <cell r="M49">
            <v>-419023.66</v>
          </cell>
          <cell r="N49">
            <v>-429086.11</v>
          </cell>
          <cell r="O49">
            <v>-517949.4</v>
          </cell>
          <cell r="P49">
            <v>-551319.48</v>
          </cell>
          <cell r="Q49">
            <v>-551138.07999999996</v>
          </cell>
          <cell r="R49">
            <v>-517466.72</v>
          </cell>
          <cell r="S49">
            <v>-407729.54</v>
          </cell>
          <cell r="T49">
            <v>-362377.06</v>
          </cell>
          <cell r="U49">
            <v>-546809.30000000005</v>
          </cell>
          <cell r="V49">
            <v>-299701.59000000003</v>
          </cell>
          <cell r="W49">
            <v>-362568.86</v>
          </cell>
          <cell r="X49">
            <v>-344496.04</v>
          </cell>
          <cell r="Y49">
            <v>-357919.41</v>
          </cell>
          <cell r="Z49">
            <v>-362258.45</v>
          </cell>
          <cell r="AA49">
            <v>-438186.17</v>
          </cell>
          <cell r="AB49">
            <v>-494599.18</v>
          </cell>
          <cell r="AC49">
            <v>-493995.57</v>
          </cell>
          <cell r="AD49">
            <v>-428147.59</v>
          </cell>
          <cell r="AE49">
            <v>-408596.34</v>
          </cell>
          <cell r="AF49">
            <v>-360585.41</v>
          </cell>
          <cell r="AG49">
            <v>-341291.81</v>
          </cell>
          <cell r="AH49">
            <v>-320350.95</v>
          </cell>
          <cell r="AI49">
            <v>-329169.55</v>
          </cell>
          <cell r="AJ49">
            <v>-338724.26</v>
          </cell>
          <cell r="AK49">
            <v>-315806.95</v>
          </cell>
          <cell r="AL49">
            <v>-373091.23</v>
          </cell>
          <cell r="AM49">
            <v>-431427.21</v>
          </cell>
          <cell r="AN49">
            <v>-437552.21</v>
          </cell>
          <cell r="AO49">
            <v>-419468.64</v>
          </cell>
          <cell r="AP49">
            <v>-409163.93</v>
          </cell>
          <cell r="AQ49">
            <v>-409706.27</v>
          </cell>
          <cell r="AR49">
            <v>-384356.47</v>
          </cell>
          <cell r="AS49">
            <v>-375859.35</v>
          </cell>
          <cell r="AT49">
            <v>-283756.45</v>
          </cell>
          <cell r="AU49">
            <v>-330326.84000000003</v>
          </cell>
          <cell r="AV49">
            <v>-365108.2</v>
          </cell>
          <cell r="AW49">
            <v>-340297.54</v>
          </cell>
          <cell r="AX49">
            <v>-367903.54</v>
          </cell>
          <cell r="AY49">
            <v>-567930.56999999995</v>
          </cell>
          <cell r="AZ49">
            <v>-453852.51</v>
          </cell>
          <cell r="BA49">
            <v>-462722.67</v>
          </cell>
          <cell r="BB49">
            <v>-432857.45</v>
          </cell>
          <cell r="BC49">
            <v>-429482.19</v>
          </cell>
          <cell r="BD49">
            <v>-376525.62</v>
          </cell>
          <cell r="BE49">
            <v>-371302.84</v>
          </cell>
          <cell r="BF49">
            <v>-359816.74</v>
          </cell>
          <cell r="BG49">
            <v>-352971.65</v>
          </cell>
          <cell r="BH49">
            <v>-383840.87</v>
          </cell>
          <cell r="BI49">
            <v>-368672.33</v>
          </cell>
          <cell r="BJ49">
            <v>-394106.68</v>
          </cell>
          <cell r="BK49">
            <v>-449997.77</v>
          </cell>
          <cell r="BL49">
            <v>-450541.91</v>
          </cell>
          <cell r="BM49">
            <v>-413483.83</v>
          </cell>
          <cell r="BN49">
            <v>-443998.64</v>
          </cell>
          <cell r="BO49">
            <v>-426712.35</v>
          </cell>
          <cell r="BP49">
            <v>-358483.21</v>
          </cell>
          <cell r="BQ49">
            <v>-372043.02</v>
          </cell>
          <cell r="BR49">
            <v>-335248.63</v>
          </cell>
          <cell r="BS49">
            <v>-342980.7</v>
          </cell>
          <cell r="BT49">
            <v>-369421.81</v>
          </cell>
          <cell r="BU49">
            <v>-344739.61</v>
          </cell>
          <cell r="BV49">
            <v>-425531.07</v>
          </cell>
          <cell r="BW49">
            <v>-444415.5</v>
          </cell>
          <cell r="BX49">
            <v>-494880.85</v>
          </cell>
          <cell r="BY49">
            <v>-461203.63</v>
          </cell>
          <cell r="BZ49">
            <v>-420381.54</v>
          </cell>
          <cell r="CA49">
            <v>-301408.61</v>
          </cell>
          <cell r="CB49">
            <v>-292824.45</v>
          </cell>
          <cell r="CC49">
            <v>-372316.1</v>
          </cell>
          <cell r="CD49">
            <v>-348702.89</v>
          </cell>
          <cell r="CE49">
            <v>-371351.58</v>
          </cell>
          <cell r="CF49">
            <v>-387776.95</v>
          </cell>
          <cell r="CG49">
            <v>-350305.53</v>
          </cell>
          <cell r="CH49">
            <v>-435209.18</v>
          </cell>
          <cell r="CI49">
            <v>-500600.82</v>
          </cell>
          <cell r="CJ49">
            <v>-722318.24</v>
          </cell>
          <cell r="CK49">
            <v>-582107.81999999995</v>
          </cell>
          <cell r="CL49">
            <v>-622228.31999999995</v>
          </cell>
          <cell r="CM49">
            <v>-607742.31000000006</v>
          </cell>
          <cell r="CN49">
            <v>-553260.51</v>
          </cell>
          <cell r="CO49">
            <v>-532537.62</v>
          </cell>
          <cell r="CP49">
            <v>-557505.32999999996</v>
          </cell>
          <cell r="CQ49">
            <v>-525395.55000000005</v>
          </cell>
          <cell r="CR49">
            <v>-566536.68999999994</v>
          </cell>
          <cell r="CS49">
            <v>-512652.89</v>
          </cell>
          <cell r="CT49">
            <v>-564108.14</v>
          </cell>
          <cell r="CU49">
            <v>-683968.06</v>
          </cell>
          <cell r="CV49">
            <v>-717306.5</v>
          </cell>
          <cell r="CW49">
            <v>-622316.39</v>
          </cell>
          <cell r="CX49">
            <v>-618851.25</v>
          </cell>
          <cell r="CY49">
            <v>-612421.86</v>
          </cell>
          <cell r="CZ49">
            <v>-603546.77</v>
          </cell>
          <cell r="DA49">
            <v>-548348.87</v>
          </cell>
          <cell r="DB49">
            <v>-514085.26</v>
          </cell>
          <cell r="DC49">
            <v>-520706.68</v>
          </cell>
          <cell r="DD49">
            <v>-533898.93999999994</v>
          </cell>
          <cell r="DE49">
            <v>-577339.34</v>
          </cell>
          <cell r="DF49">
            <v>-588102.27</v>
          </cell>
          <cell r="DG49">
            <v>-655814.01</v>
          </cell>
          <cell r="DH49">
            <v>-7112738.1399999987</v>
          </cell>
        </row>
        <row r="50">
          <cell r="A50" t="str">
            <v>4810051</v>
          </cell>
          <cell r="B50" t="str">
            <v>4810051</v>
          </cell>
          <cell r="C50" t="str">
            <v>GenSvc Lg Vol 1 Fuel</v>
          </cell>
          <cell r="D50">
            <v>-1675890.12</v>
          </cell>
          <cell r="E50">
            <v>-1349822.34</v>
          </cell>
          <cell r="F50">
            <v>-1044824.94</v>
          </cell>
          <cell r="G50">
            <v>-1212610.51</v>
          </cell>
          <cell r="H50">
            <v>-884320.71</v>
          </cell>
          <cell r="I50">
            <v>-993146.4</v>
          </cell>
          <cell r="J50">
            <v>-901728.9</v>
          </cell>
          <cell r="K50">
            <v>-853799.45</v>
          </cell>
          <cell r="L50">
            <v>-932244.91</v>
          </cell>
          <cell r="M50">
            <v>-851257.32</v>
          </cell>
          <cell r="N50">
            <v>-843499.1</v>
          </cell>
          <cell r="O50">
            <v>-1114399.77</v>
          </cell>
          <cell r="P50">
            <v>-1399803.3</v>
          </cell>
          <cell r="Q50">
            <v>-1274621.81</v>
          </cell>
          <cell r="R50">
            <v>-987233.65</v>
          </cell>
          <cell r="S50">
            <v>-832573.52</v>
          </cell>
          <cell r="T50">
            <v>-721102.32</v>
          </cell>
          <cell r="U50">
            <v>-1308773.08</v>
          </cell>
          <cell r="V50">
            <v>-597024.97</v>
          </cell>
          <cell r="W50">
            <v>-799105.44</v>
          </cell>
          <cell r="X50">
            <v>-742367.59</v>
          </cell>
          <cell r="Y50">
            <v>-727027.4</v>
          </cell>
          <cell r="Z50">
            <v>-820631.65</v>
          </cell>
          <cell r="AA50">
            <v>-972391.32</v>
          </cell>
          <cell r="AB50">
            <v>-1323826.69</v>
          </cell>
          <cell r="AC50">
            <v>-1302433.31</v>
          </cell>
          <cell r="AD50">
            <v>-1007751.17</v>
          </cell>
          <cell r="AE50">
            <v>-1006387.22</v>
          </cell>
          <cell r="AF50">
            <v>-839592.33</v>
          </cell>
          <cell r="AG50">
            <v>-739668.88</v>
          </cell>
          <cell r="AH50">
            <v>-672593.35</v>
          </cell>
          <cell r="AI50">
            <v>-706111.86</v>
          </cell>
          <cell r="AJ50">
            <v>-674654.3</v>
          </cell>
          <cell r="AK50">
            <v>-631530.98</v>
          </cell>
          <cell r="AL50">
            <v>-738349.33</v>
          </cell>
          <cell r="AM50">
            <v>-917845.07</v>
          </cell>
          <cell r="AN50">
            <v>-945021.31</v>
          </cell>
          <cell r="AO50">
            <v>-945889.26</v>
          </cell>
          <cell r="AP50">
            <v>-887544.48</v>
          </cell>
          <cell r="AQ50">
            <v>-890567.65</v>
          </cell>
          <cell r="AR50">
            <v>-795343.81</v>
          </cell>
          <cell r="AS50">
            <v>-742168.47</v>
          </cell>
          <cell r="AT50">
            <v>-580112.72</v>
          </cell>
          <cell r="AU50">
            <v>-740521.83</v>
          </cell>
          <cell r="AV50">
            <v>-914106.88</v>
          </cell>
          <cell r="AW50">
            <v>-806944.24</v>
          </cell>
          <cell r="AX50">
            <v>-886955.32</v>
          </cell>
          <cell r="AY50">
            <v>-1467633.14</v>
          </cell>
          <cell r="AZ50">
            <v>-1318168.04</v>
          </cell>
          <cell r="BA50">
            <v>-1328191.54</v>
          </cell>
          <cell r="BB50">
            <v>-1060003.1599999999</v>
          </cell>
          <cell r="BC50">
            <v>-1077285.1599999999</v>
          </cell>
          <cell r="BD50">
            <v>-910873.39</v>
          </cell>
          <cell r="BE50">
            <v>-835826.31</v>
          </cell>
          <cell r="BF50">
            <v>-830196.81</v>
          </cell>
          <cell r="BG50">
            <v>-797054.28</v>
          </cell>
          <cell r="BH50">
            <v>-886253.25</v>
          </cell>
          <cell r="BI50">
            <v>-764519.57</v>
          </cell>
          <cell r="BJ50">
            <v>-865712.24</v>
          </cell>
          <cell r="BK50">
            <v>-1033331.81</v>
          </cell>
          <cell r="BL50">
            <v>-1210111.8899999999</v>
          </cell>
          <cell r="BM50">
            <v>-1050827.17</v>
          </cell>
          <cell r="BN50">
            <v>-1272507.6599999999</v>
          </cell>
          <cell r="BO50">
            <v>-1304969.27</v>
          </cell>
          <cell r="BP50">
            <v>-1008152.37</v>
          </cell>
          <cell r="BQ50">
            <v>-1044020.27</v>
          </cell>
          <cell r="BR50">
            <v>-922520.88</v>
          </cell>
          <cell r="BS50">
            <v>-738480.06</v>
          </cell>
          <cell r="BT50">
            <v>-880216.6</v>
          </cell>
          <cell r="BU50">
            <v>-797882.19</v>
          </cell>
          <cell r="BV50">
            <v>-1058590.82</v>
          </cell>
          <cell r="BW50">
            <v>-1124268.48</v>
          </cell>
          <cell r="BX50">
            <v>-1281209.52</v>
          </cell>
          <cell r="BY50">
            <v>-1073689.72</v>
          </cell>
          <cell r="BZ50">
            <v>-918962.76</v>
          </cell>
          <cell r="CA50">
            <v>-572056.75</v>
          </cell>
          <cell r="CB50">
            <v>-538626.02</v>
          </cell>
          <cell r="CC50">
            <v>-770135.98</v>
          </cell>
          <cell r="CD50">
            <v>-698796.45</v>
          </cell>
          <cell r="CE50">
            <v>-761868.27</v>
          </cell>
          <cell r="CF50">
            <v>-804387.54</v>
          </cell>
          <cell r="CG50">
            <v>-761136.23</v>
          </cell>
          <cell r="CH50">
            <v>-1088796.8899999999</v>
          </cell>
          <cell r="CI50">
            <v>-1360044.9</v>
          </cell>
          <cell r="CJ50">
            <v>-1389458.23</v>
          </cell>
          <cell r="CK50">
            <v>-1195580.5900000001</v>
          </cell>
          <cell r="CL50">
            <v>-1591808.95</v>
          </cell>
          <cell r="CM50">
            <v>-1457542.99</v>
          </cell>
          <cell r="CN50">
            <v>-1264723.5</v>
          </cell>
          <cell r="CO50">
            <v>-1202940.21</v>
          </cell>
          <cell r="CP50">
            <v>-1344273.35</v>
          </cell>
          <cell r="CQ50">
            <v>-1214170.3799999999</v>
          </cell>
          <cell r="CR50">
            <v>-1349048.18</v>
          </cell>
          <cell r="CS50">
            <v>-1165052.1000000001</v>
          </cell>
          <cell r="CT50">
            <v>-1331961.77</v>
          </cell>
          <cell r="CU50">
            <v>-1726476.56</v>
          </cell>
          <cell r="CV50">
            <v>-2110521.5299999998</v>
          </cell>
          <cell r="CW50">
            <v>-1631164.13</v>
          </cell>
          <cell r="CX50">
            <v>-1625384</v>
          </cell>
          <cell r="CY50">
            <v>-1580886.49</v>
          </cell>
          <cell r="CZ50">
            <v>-1558645.11</v>
          </cell>
          <cell r="DA50">
            <v>-1355753.96</v>
          </cell>
          <cell r="DB50">
            <v>-1266136.8700000001</v>
          </cell>
          <cell r="DC50">
            <v>-2151593.41</v>
          </cell>
          <cell r="DD50">
            <v>-1914180.57</v>
          </cell>
          <cell r="DE50">
            <v>-1992713.06</v>
          </cell>
          <cell r="DF50">
            <v>-871360.55</v>
          </cell>
          <cell r="DG50">
            <v>-1465436.38</v>
          </cell>
          <cell r="DH50">
            <v>-19523776.059999999</v>
          </cell>
        </row>
        <row r="51">
          <cell r="A51" t="str">
            <v>4810052</v>
          </cell>
          <cell r="B51" t="str">
            <v>4810052</v>
          </cell>
          <cell r="C51" t="str">
            <v>GenSvc Lg Vol 2</v>
          </cell>
          <cell r="D51">
            <v>-336652.22</v>
          </cell>
          <cell r="E51">
            <v>-310869.46000000002</v>
          </cell>
          <cell r="F51">
            <v>-259738.13</v>
          </cell>
          <cell r="G51">
            <v>-249733.88</v>
          </cell>
          <cell r="H51">
            <v>-204175.47</v>
          </cell>
          <cell r="I51">
            <v>-217637.23</v>
          </cell>
          <cell r="J51">
            <v>-207765.34</v>
          </cell>
          <cell r="K51">
            <v>-179200</v>
          </cell>
          <cell r="L51">
            <v>-211255.63</v>
          </cell>
          <cell r="M51">
            <v>-199895.36</v>
          </cell>
          <cell r="N51">
            <v>-223111.66</v>
          </cell>
          <cell r="O51">
            <v>-268054.65999999997</v>
          </cell>
          <cell r="P51">
            <v>-282875.92</v>
          </cell>
          <cell r="Q51">
            <v>-279159.8</v>
          </cell>
          <cell r="R51">
            <v>-255545.85</v>
          </cell>
          <cell r="S51">
            <v>-207350.53</v>
          </cell>
          <cell r="T51">
            <v>-166151.04000000001</v>
          </cell>
          <cell r="U51">
            <v>-204278.89</v>
          </cell>
          <cell r="V51">
            <v>-179821.49</v>
          </cell>
          <cell r="W51">
            <v>-179523.97</v>
          </cell>
          <cell r="X51">
            <v>-164993.49</v>
          </cell>
          <cell r="Y51">
            <v>-172629.87</v>
          </cell>
          <cell r="Z51">
            <v>-179974.08</v>
          </cell>
          <cell r="AA51">
            <v>-226009.57</v>
          </cell>
          <cell r="AB51">
            <v>-242098.53</v>
          </cell>
          <cell r="AC51">
            <v>-231533.86</v>
          </cell>
          <cell r="AD51">
            <v>-210031.91</v>
          </cell>
          <cell r="AE51">
            <v>-249560.31</v>
          </cell>
          <cell r="AF51">
            <v>-121974.18</v>
          </cell>
          <cell r="AG51">
            <v>-139107.96</v>
          </cell>
          <cell r="AH51">
            <v>-154810.82999999999</v>
          </cell>
          <cell r="AI51">
            <v>-151611.59</v>
          </cell>
          <cell r="AJ51">
            <v>-151135.94</v>
          </cell>
          <cell r="AK51">
            <v>-146911.1</v>
          </cell>
          <cell r="AL51">
            <v>-163257.04</v>
          </cell>
          <cell r="AM51">
            <v>-195914.61</v>
          </cell>
          <cell r="AN51">
            <v>-217357.78</v>
          </cell>
          <cell r="AO51">
            <v>-198283.25</v>
          </cell>
          <cell r="AP51">
            <v>-187932.6</v>
          </cell>
          <cell r="AQ51">
            <v>-174383.6</v>
          </cell>
          <cell r="AR51">
            <v>-173844.86</v>
          </cell>
          <cell r="AS51">
            <v>-151004.07999999999</v>
          </cell>
          <cell r="AT51">
            <v>-150435.18</v>
          </cell>
          <cell r="AU51">
            <v>-146474.23999999999</v>
          </cell>
          <cell r="AV51">
            <v>-182930.46</v>
          </cell>
          <cell r="AW51">
            <v>-149866.37</v>
          </cell>
          <cell r="AX51">
            <v>-212633.01</v>
          </cell>
          <cell r="AY51">
            <v>-256680.66</v>
          </cell>
          <cell r="AZ51">
            <v>-307926.31</v>
          </cell>
          <cell r="BA51">
            <v>-229388.68</v>
          </cell>
          <cell r="BB51">
            <v>-176641.71</v>
          </cell>
          <cell r="BC51">
            <v>-200101.41</v>
          </cell>
          <cell r="BD51">
            <v>-181418.73</v>
          </cell>
          <cell r="BE51">
            <v>-181546.25</v>
          </cell>
          <cell r="BF51">
            <v>-165454.01999999999</v>
          </cell>
          <cell r="BG51">
            <v>-150216.99</v>
          </cell>
          <cell r="BH51">
            <v>-176120.09</v>
          </cell>
          <cell r="BI51">
            <v>-157723.32999999999</v>
          </cell>
          <cell r="BJ51">
            <v>-182277.82</v>
          </cell>
          <cell r="BK51">
            <v>-238303.95</v>
          </cell>
          <cell r="BL51">
            <v>-207137.95</v>
          </cell>
          <cell r="BM51">
            <v>-215007.16</v>
          </cell>
          <cell r="BN51">
            <v>-210733.22</v>
          </cell>
          <cell r="BO51">
            <v>-212619.53</v>
          </cell>
          <cell r="BP51">
            <v>-158122.26</v>
          </cell>
          <cell r="BQ51">
            <v>-156686.96</v>
          </cell>
          <cell r="BR51">
            <v>-195217.08</v>
          </cell>
          <cell r="BS51">
            <v>-122521</v>
          </cell>
          <cell r="BT51">
            <v>-200887.78</v>
          </cell>
          <cell r="BU51">
            <v>-160743.39000000001</v>
          </cell>
          <cell r="BV51">
            <v>-232860.81</v>
          </cell>
          <cell r="BW51">
            <v>-242929.08</v>
          </cell>
          <cell r="BX51">
            <v>-284043.11</v>
          </cell>
          <cell r="BY51">
            <v>-238675.36</v>
          </cell>
          <cell r="BZ51">
            <v>-230342.57</v>
          </cell>
          <cell r="CA51">
            <v>-130655.91</v>
          </cell>
          <cell r="CB51">
            <v>-116417.85</v>
          </cell>
          <cell r="CC51">
            <v>-174184.71</v>
          </cell>
          <cell r="CD51">
            <v>-169340.53</v>
          </cell>
          <cell r="CE51">
            <v>-171220.83</v>
          </cell>
          <cell r="CF51">
            <v>-181914.72</v>
          </cell>
          <cell r="CG51">
            <v>-185274.83</v>
          </cell>
          <cell r="CH51">
            <v>-218619.24</v>
          </cell>
          <cell r="CI51">
            <v>-294851.14</v>
          </cell>
          <cell r="CJ51">
            <v>-445148.63</v>
          </cell>
          <cell r="CK51">
            <v>-351189.59</v>
          </cell>
          <cell r="CL51">
            <v>-342525.03</v>
          </cell>
          <cell r="CM51">
            <v>-346089</v>
          </cell>
          <cell r="CN51">
            <v>-283532.59000000003</v>
          </cell>
          <cell r="CO51">
            <v>-293155.44</v>
          </cell>
          <cell r="CP51">
            <v>-280938.39</v>
          </cell>
          <cell r="CQ51">
            <v>-267543.27</v>
          </cell>
          <cell r="CR51">
            <v>-264872.12</v>
          </cell>
          <cell r="CS51">
            <v>-264608.51</v>
          </cell>
          <cell r="CT51">
            <v>-306436.82</v>
          </cell>
          <cell r="CU51">
            <v>-384647.9</v>
          </cell>
          <cell r="CV51">
            <v>-427720.05</v>
          </cell>
          <cell r="CW51">
            <v>-373284.7</v>
          </cell>
          <cell r="CX51">
            <v>-357455.96</v>
          </cell>
          <cell r="CY51">
            <v>-341420.26</v>
          </cell>
          <cell r="CZ51">
            <v>-327479.95</v>
          </cell>
          <cell r="DA51">
            <v>-293471.64</v>
          </cell>
          <cell r="DB51">
            <v>-307794.12</v>
          </cell>
          <cell r="DC51">
            <v>-306653.53999999998</v>
          </cell>
          <cell r="DD51">
            <v>-308236.81</v>
          </cell>
          <cell r="DE51">
            <v>-344133.53</v>
          </cell>
          <cell r="DF51">
            <v>-375129.37</v>
          </cell>
          <cell r="DG51">
            <v>-415482.13</v>
          </cell>
          <cell r="DH51">
            <v>-4178262.0600000005</v>
          </cell>
        </row>
        <row r="52">
          <cell r="A52" t="str">
            <v>4810053</v>
          </cell>
          <cell r="B52" t="str">
            <v>4810053</v>
          </cell>
          <cell r="C52" t="str">
            <v>GenSvc Lg Vol 2 Fuel</v>
          </cell>
          <cell r="D52">
            <v>-1228261.3</v>
          </cell>
          <cell r="E52">
            <v>-1002180.76</v>
          </cell>
          <cell r="F52">
            <v>-772167.43</v>
          </cell>
          <cell r="G52">
            <v>-847108.63</v>
          </cell>
          <cell r="H52">
            <v>-595852.78</v>
          </cell>
          <cell r="I52">
            <v>-698182.22</v>
          </cell>
          <cell r="J52">
            <v>-661025.98</v>
          </cell>
          <cell r="K52">
            <v>-570756.75</v>
          </cell>
          <cell r="L52">
            <v>-643519.54</v>
          </cell>
          <cell r="M52">
            <v>-573520.17000000004</v>
          </cell>
          <cell r="N52">
            <v>-627897.39</v>
          </cell>
          <cell r="O52">
            <v>-794798.51</v>
          </cell>
          <cell r="P52">
            <v>-977693.73</v>
          </cell>
          <cell r="Q52">
            <v>-874036.04</v>
          </cell>
          <cell r="R52">
            <v>-666124.21</v>
          </cell>
          <cell r="S52">
            <v>-605273.47</v>
          </cell>
          <cell r="T52">
            <v>-479876.88</v>
          </cell>
          <cell r="U52">
            <v>-637147.19999999995</v>
          </cell>
          <cell r="V52">
            <v>-551299.31999999995</v>
          </cell>
          <cell r="W52">
            <v>-569422.54</v>
          </cell>
          <cell r="X52">
            <v>-516977.3</v>
          </cell>
          <cell r="Y52">
            <v>-504083.56</v>
          </cell>
          <cell r="Z52">
            <v>-581627.22</v>
          </cell>
          <cell r="AA52">
            <v>-695496.48</v>
          </cell>
          <cell r="AB52">
            <v>-872549.06</v>
          </cell>
          <cell r="AC52">
            <v>-819495.3</v>
          </cell>
          <cell r="AD52">
            <v>-682651.45</v>
          </cell>
          <cell r="AE52">
            <v>-869169.03</v>
          </cell>
          <cell r="AF52">
            <v>-378848.1</v>
          </cell>
          <cell r="AG52">
            <v>-423512.75</v>
          </cell>
          <cell r="AH52">
            <v>-480616.43</v>
          </cell>
          <cell r="AI52">
            <v>-470666.43</v>
          </cell>
          <cell r="AJ52">
            <v>-429091.72</v>
          </cell>
          <cell r="AK52">
            <v>-429493.91</v>
          </cell>
          <cell r="AL52">
            <v>-450044.19</v>
          </cell>
          <cell r="AM52">
            <v>-564316.13</v>
          </cell>
          <cell r="AN52">
            <v>-644634.88</v>
          </cell>
          <cell r="AO52">
            <v>-612098.99</v>
          </cell>
          <cell r="AP52">
            <v>-560465.71</v>
          </cell>
          <cell r="AQ52">
            <v>-516498.47</v>
          </cell>
          <cell r="AR52">
            <v>-505110.22</v>
          </cell>
          <cell r="AS52">
            <v>-416712.9</v>
          </cell>
          <cell r="AT52">
            <v>-450875.24</v>
          </cell>
          <cell r="AU52">
            <v>-461539.88</v>
          </cell>
          <cell r="AV52">
            <v>-638153.07999999996</v>
          </cell>
          <cell r="AW52">
            <v>-496579.45</v>
          </cell>
          <cell r="AX52">
            <v>-726107.63</v>
          </cell>
          <cell r="AY52">
            <v>-879051.57</v>
          </cell>
          <cell r="AZ52">
            <v>-1231480.3899999999</v>
          </cell>
          <cell r="BA52">
            <v>-884776.46</v>
          </cell>
          <cell r="BB52">
            <v>-578951.71</v>
          </cell>
          <cell r="BC52">
            <v>-689867.06</v>
          </cell>
          <cell r="BD52">
            <v>-607981.09</v>
          </cell>
          <cell r="BE52">
            <v>-578771.07999999996</v>
          </cell>
          <cell r="BF52">
            <v>-528192.93999999994</v>
          </cell>
          <cell r="BG52">
            <v>-480571.87</v>
          </cell>
          <cell r="BH52">
            <v>-567044.43999999994</v>
          </cell>
          <cell r="BI52">
            <v>-454915.1</v>
          </cell>
          <cell r="BJ52">
            <v>-557755.82999999996</v>
          </cell>
          <cell r="BK52">
            <v>-758436.63</v>
          </cell>
          <cell r="BL52">
            <v>-754248.87</v>
          </cell>
          <cell r="BM52">
            <v>-757027.07</v>
          </cell>
          <cell r="BN52">
            <v>-819824.29</v>
          </cell>
          <cell r="BO52">
            <v>-841510.25</v>
          </cell>
          <cell r="BP52">
            <v>-667597.51</v>
          </cell>
          <cell r="BQ52">
            <v>-604805.12</v>
          </cell>
          <cell r="BR52">
            <v>-781483.47</v>
          </cell>
          <cell r="BS52">
            <v>-310650.45</v>
          </cell>
          <cell r="BT52">
            <v>-679445.26</v>
          </cell>
          <cell r="BU52">
            <v>-524612.38</v>
          </cell>
          <cell r="BV52">
            <v>-801690.28</v>
          </cell>
          <cell r="BW52">
            <v>-846791.31</v>
          </cell>
          <cell r="BX52">
            <v>-1004279.72</v>
          </cell>
          <cell r="BY52">
            <v>-762476.54</v>
          </cell>
          <cell r="BZ52">
            <v>-710142.55</v>
          </cell>
          <cell r="CA52">
            <v>-361786.79</v>
          </cell>
          <cell r="CB52">
            <v>-308499.07</v>
          </cell>
          <cell r="CC52">
            <v>-502104.74</v>
          </cell>
          <cell r="CD52">
            <v>-480792.85</v>
          </cell>
          <cell r="CE52">
            <v>-484371.04</v>
          </cell>
          <cell r="CF52">
            <v>-518225.91</v>
          </cell>
          <cell r="CG52">
            <v>-583354.25</v>
          </cell>
          <cell r="CH52">
            <v>-746783.25</v>
          </cell>
          <cell r="CI52">
            <v>-1094298.01</v>
          </cell>
          <cell r="CJ52">
            <v>-1130879.04</v>
          </cell>
          <cell r="CK52">
            <v>-971693.29</v>
          </cell>
          <cell r="CL52">
            <v>-1148802.0900000001</v>
          </cell>
          <cell r="CM52">
            <v>-1090347.4099999999</v>
          </cell>
          <cell r="CN52">
            <v>-855983.22</v>
          </cell>
          <cell r="CO52">
            <v>-882985.05</v>
          </cell>
          <cell r="CP52">
            <v>-883659.27</v>
          </cell>
          <cell r="CQ52">
            <v>-813415.47</v>
          </cell>
          <cell r="CR52">
            <v>-810183.49</v>
          </cell>
          <cell r="CS52">
            <v>-799977.08</v>
          </cell>
          <cell r="CT52">
            <v>-960808.24</v>
          </cell>
          <cell r="CU52">
            <v>-1264192.82</v>
          </cell>
          <cell r="CV52">
            <v>-1628077.79</v>
          </cell>
          <cell r="CW52">
            <v>-1316156.43</v>
          </cell>
          <cell r="CX52">
            <v>-1234135.22</v>
          </cell>
          <cell r="CY52">
            <v>-1180244.49</v>
          </cell>
          <cell r="CZ52">
            <v>-1107097.9099999999</v>
          </cell>
          <cell r="DA52">
            <v>-958153.6</v>
          </cell>
          <cell r="DB52">
            <v>-1026668.95</v>
          </cell>
          <cell r="DC52">
            <v>-1700473.47</v>
          </cell>
          <cell r="DD52">
            <v>-1477062.01</v>
          </cell>
          <cell r="DE52">
            <v>-1584726.05</v>
          </cell>
          <cell r="DF52">
            <v>-783284.38</v>
          </cell>
          <cell r="DG52">
            <v>-1223181.3799999999</v>
          </cell>
          <cell r="DH52">
            <v>-15219261.68</v>
          </cell>
        </row>
        <row r="53">
          <cell r="A53" t="str">
            <v>4810054</v>
          </cell>
          <cell r="B53" t="str">
            <v>4810054</v>
          </cell>
          <cell r="C53" t="str">
            <v>GenSvc Lg Vol 3</v>
          </cell>
          <cell r="D53">
            <v>-90938.86</v>
          </cell>
          <cell r="E53">
            <v>-75128.7</v>
          </cell>
          <cell r="F53">
            <v>-68514.649999999994</v>
          </cell>
          <cell r="G53">
            <v>-54286.71</v>
          </cell>
          <cell r="H53">
            <v>-27577.53</v>
          </cell>
          <cell r="I53">
            <v>-51102.83</v>
          </cell>
          <cell r="J53">
            <v>-64304.65</v>
          </cell>
          <cell r="K53">
            <v>-43973.279999999999</v>
          </cell>
          <cell r="L53">
            <v>-53488.14</v>
          </cell>
          <cell r="M53">
            <v>-45022.21</v>
          </cell>
          <cell r="N53">
            <v>-69797.039999999994</v>
          </cell>
          <cell r="O53">
            <v>-69353.509999999995</v>
          </cell>
          <cell r="P53">
            <v>-84412.05</v>
          </cell>
          <cell r="Q53">
            <v>-95393.34</v>
          </cell>
          <cell r="R53">
            <v>-83336.81</v>
          </cell>
          <cell r="S53">
            <v>-46759.54</v>
          </cell>
          <cell r="T53">
            <v>-41521.72</v>
          </cell>
          <cell r="U53">
            <v>-55811.360000000001</v>
          </cell>
          <cell r="V53">
            <v>-64091.47</v>
          </cell>
          <cell r="W53">
            <v>-39302.839999999997</v>
          </cell>
          <cell r="X53">
            <v>-48795.81</v>
          </cell>
          <cell r="Y53">
            <v>-45166.57</v>
          </cell>
          <cell r="Z53">
            <v>-35022.449999999997</v>
          </cell>
          <cell r="AA53">
            <v>-59090.82</v>
          </cell>
          <cell r="AB53">
            <v>-70908.12</v>
          </cell>
          <cell r="AC53">
            <v>-77797.33</v>
          </cell>
          <cell r="AD53">
            <v>-56812.2</v>
          </cell>
          <cell r="AE53">
            <v>-52101.46</v>
          </cell>
          <cell r="AF53">
            <v>-36364.879999999997</v>
          </cell>
          <cell r="AG53">
            <v>-38533.089999999997</v>
          </cell>
          <cell r="AH53">
            <v>-43764.4</v>
          </cell>
          <cell r="AI53">
            <v>-49089.39</v>
          </cell>
          <cell r="AJ53">
            <v>-45116.46</v>
          </cell>
          <cell r="AK53">
            <v>-42361.98</v>
          </cell>
          <cell r="AL53">
            <v>-58618.83</v>
          </cell>
          <cell r="AM53">
            <v>-56477.06</v>
          </cell>
          <cell r="AN53">
            <v>-74295.73</v>
          </cell>
          <cell r="AO53">
            <v>-79164.479999999996</v>
          </cell>
          <cell r="AP53">
            <v>-29697.73</v>
          </cell>
          <cell r="AQ53">
            <v>-66487.91</v>
          </cell>
          <cell r="AR53">
            <v>-88955.57</v>
          </cell>
          <cell r="AS53">
            <v>-54004.41</v>
          </cell>
          <cell r="AT53">
            <v>-64674.91</v>
          </cell>
          <cell r="AU53">
            <v>-35227.129999999997</v>
          </cell>
          <cell r="AV53">
            <v>-70885.39</v>
          </cell>
          <cell r="AW53">
            <v>-54286.11</v>
          </cell>
          <cell r="AX53">
            <v>-111041.62</v>
          </cell>
          <cell r="AY53">
            <v>-43606.34</v>
          </cell>
          <cell r="AZ53">
            <v>-98780.29</v>
          </cell>
          <cell r="BA53">
            <v>-48579.26</v>
          </cell>
          <cell r="BB53">
            <v>-52066.34</v>
          </cell>
          <cell r="BC53">
            <v>-91688.18</v>
          </cell>
          <cell r="BD53">
            <v>-29982.92</v>
          </cell>
          <cell r="BE53">
            <v>-102221.43</v>
          </cell>
          <cell r="BF53">
            <v>-43036.28</v>
          </cell>
          <cell r="BG53">
            <v>-51609.64</v>
          </cell>
          <cell r="BH53">
            <v>-47711.23</v>
          </cell>
          <cell r="BI53">
            <v>-61517.85</v>
          </cell>
          <cell r="BJ53">
            <v>-61374.51</v>
          </cell>
          <cell r="BK53">
            <v>-55502.38</v>
          </cell>
          <cell r="BL53">
            <v>-56489.96</v>
          </cell>
          <cell r="BM53">
            <v>-95634.66</v>
          </cell>
          <cell r="BN53">
            <v>-82092.62</v>
          </cell>
          <cell r="BO53">
            <v>-15504.96</v>
          </cell>
          <cell r="BP53">
            <v>-70581.8</v>
          </cell>
          <cell r="BQ53">
            <v>8522</v>
          </cell>
          <cell r="BR53">
            <v>-43872.91</v>
          </cell>
          <cell r="BS53">
            <v>-55906.01</v>
          </cell>
          <cell r="BT53">
            <v>-21881.67</v>
          </cell>
          <cell r="BU53">
            <v>-63070.17</v>
          </cell>
          <cell r="BV53">
            <v>-35694.589999999997</v>
          </cell>
          <cell r="BW53">
            <v>-76599.12</v>
          </cell>
          <cell r="BX53">
            <v>-77290.13</v>
          </cell>
          <cell r="BY53">
            <v>-73344.38</v>
          </cell>
          <cell r="BZ53">
            <v>-53376.07</v>
          </cell>
          <cell r="CA53">
            <v>-27169.68</v>
          </cell>
          <cell r="CB53">
            <v>-30895.93</v>
          </cell>
          <cell r="CC53">
            <v>-26352.09</v>
          </cell>
          <cell r="CD53">
            <v>-35371.1</v>
          </cell>
          <cell r="CE53">
            <v>-42699.28</v>
          </cell>
          <cell r="CF53">
            <v>-27859.13</v>
          </cell>
          <cell r="CG53">
            <v>-36403.56</v>
          </cell>
          <cell r="CH53">
            <v>-45018.720000000001</v>
          </cell>
          <cell r="CI53">
            <v>39822.29</v>
          </cell>
          <cell r="CJ53">
            <v>-134905.99</v>
          </cell>
          <cell r="CK53">
            <v>-72075.179999999993</v>
          </cell>
          <cell r="CL53">
            <v>-68332.36</v>
          </cell>
          <cell r="CM53">
            <v>-73726.899999999994</v>
          </cell>
          <cell r="CN53">
            <v>-56320.959999999999</v>
          </cell>
          <cell r="CO53">
            <v>-53135.69</v>
          </cell>
          <cell r="CP53">
            <v>-68005.08</v>
          </cell>
          <cell r="CQ53">
            <v>-51565.32</v>
          </cell>
          <cell r="CR53">
            <v>-65039.56</v>
          </cell>
          <cell r="CS53">
            <v>-64169.95</v>
          </cell>
          <cell r="CT53">
            <v>-81730.710000000006</v>
          </cell>
          <cell r="CU53">
            <v>-112714.14</v>
          </cell>
          <cell r="CV53">
            <v>-103541.35</v>
          </cell>
          <cell r="CW53">
            <v>-100470.23</v>
          </cell>
          <cell r="CX53">
            <v>-77633.320000000007</v>
          </cell>
          <cell r="CY53">
            <v>-86831.34</v>
          </cell>
          <cell r="CZ53">
            <v>-88117.35</v>
          </cell>
          <cell r="DA53">
            <v>-49031.92</v>
          </cell>
          <cell r="DB53">
            <v>-49647.14</v>
          </cell>
          <cell r="DC53">
            <v>-46754.1</v>
          </cell>
          <cell r="DD53">
            <v>-51101.01</v>
          </cell>
          <cell r="DE53">
            <v>-51724.7</v>
          </cell>
          <cell r="DF53">
            <v>-42948.77</v>
          </cell>
          <cell r="DG53">
            <v>-72464.100000000006</v>
          </cell>
          <cell r="DH53">
            <v>-820265.32999999984</v>
          </cell>
        </row>
        <row r="54">
          <cell r="A54" t="str">
            <v>4810055</v>
          </cell>
          <cell r="B54" t="str">
            <v>4810055</v>
          </cell>
          <cell r="C54" t="str">
            <v>GenSvc Lg Vol 3 Fuel</v>
          </cell>
          <cell r="D54">
            <v>-389235.69</v>
          </cell>
          <cell r="E54">
            <v>-279755.15999999997</v>
          </cell>
          <cell r="F54">
            <v>-240136.47</v>
          </cell>
          <cell r="G54">
            <v>-214225.97</v>
          </cell>
          <cell r="H54">
            <v>-77303.48</v>
          </cell>
          <cell r="I54">
            <v>-186793.36</v>
          </cell>
          <cell r="J54">
            <v>-211922.79</v>
          </cell>
          <cell r="K54">
            <v>-166724.94</v>
          </cell>
          <cell r="L54">
            <v>-194499.68</v>
          </cell>
          <cell r="M54">
            <v>-154155.25</v>
          </cell>
          <cell r="N54">
            <v>-237185.67</v>
          </cell>
          <cell r="O54">
            <v>-244190.95</v>
          </cell>
          <cell r="P54">
            <v>-347324.41</v>
          </cell>
          <cell r="Q54">
            <v>-351714.83</v>
          </cell>
          <cell r="R54">
            <v>-262073.66</v>
          </cell>
          <cell r="S54">
            <v>-162380.10999999999</v>
          </cell>
          <cell r="T54">
            <v>-142221.93</v>
          </cell>
          <cell r="U54">
            <v>-198425.19</v>
          </cell>
          <cell r="V54">
            <v>-232133.97</v>
          </cell>
          <cell r="W54">
            <v>-141041.62</v>
          </cell>
          <cell r="X54">
            <v>-183779.95</v>
          </cell>
          <cell r="Y54">
            <v>-153075.73000000001</v>
          </cell>
          <cell r="Z54">
            <v>-127192.53</v>
          </cell>
          <cell r="AA54">
            <v>-209810.31</v>
          </cell>
          <cell r="AB54">
            <v>-299911.46999999997</v>
          </cell>
          <cell r="AC54">
            <v>-322746.77</v>
          </cell>
          <cell r="AD54">
            <v>-215976.05</v>
          </cell>
          <cell r="AE54">
            <v>-207975.75</v>
          </cell>
          <cell r="AF54">
            <v>-143604.99</v>
          </cell>
          <cell r="AG54">
            <v>-137249.17000000001</v>
          </cell>
          <cell r="AH54">
            <v>-166661.81</v>
          </cell>
          <cell r="AI54">
            <v>-175880.88</v>
          </cell>
          <cell r="AJ54">
            <v>-153579.46</v>
          </cell>
          <cell r="AK54">
            <v>-148029.04</v>
          </cell>
          <cell r="AL54">
            <v>-199643.84</v>
          </cell>
          <cell r="AM54">
            <v>-195165.21</v>
          </cell>
          <cell r="AN54">
            <v>-210390.31</v>
          </cell>
          <cell r="AO54">
            <v>-298738.42</v>
          </cell>
          <cell r="AP54">
            <v>-95987.16</v>
          </cell>
          <cell r="AQ54">
            <v>-241350.32</v>
          </cell>
          <cell r="AR54">
            <v>-322816.44</v>
          </cell>
          <cell r="AS54">
            <v>-179860.05</v>
          </cell>
          <cell r="AT54">
            <v>-230149.16</v>
          </cell>
          <cell r="AU54">
            <v>-139229.06</v>
          </cell>
          <cell r="AV54">
            <v>-292359.69</v>
          </cell>
          <cell r="AW54">
            <v>-229061.45</v>
          </cell>
          <cell r="AX54">
            <v>-474125.93</v>
          </cell>
          <cell r="AY54">
            <v>-160821.15</v>
          </cell>
          <cell r="AZ54">
            <v>-467151.53</v>
          </cell>
          <cell r="BA54">
            <v>-211667.55</v>
          </cell>
          <cell r="BB54">
            <v>-204606.1</v>
          </cell>
          <cell r="BC54">
            <v>-385447.77</v>
          </cell>
          <cell r="BD54">
            <v>-109595.88</v>
          </cell>
          <cell r="BE54">
            <v>-423836.8</v>
          </cell>
          <cell r="BF54">
            <v>-168184.83</v>
          </cell>
          <cell r="BG54">
            <v>-204807.52</v>
          </cell>
          <cell r="BH54">
            <v>-188289.1</v>
          </cell>
          <cell r="BI54">
            <v>-229425.98</v>
          </cell>
          <cell r="BJ54">
            <v>-226618.91</v>
          </cell>
          <cell r="BK54">
            <v>-194363.4</v>
          </cell>
          <cell r="BL54">
            <v>-248808.94</v>
          </cell>
          <cell r="BM54">
            <v>-408057.05</v>
          </cell>
          <cell r="BN54">
            <v>-392023.4</v>
          </cell>
          <cell r="BO54">
            <v>-76657.960000000006</v>
          </cell>
          <cell r="BP54">
            <v>-343037.16</v>
          </cell>
          <cell r="BQ54">
            <v>53478.12</v>
          </cell>
          <cell r="BR54">
            <v>-219529.60000000001</v>
          </cell>
          <cell r="BS54">
            <v>-220861.19</v>
          </cell>
          <cell r="BT54">
            <v>-65992.39</v>
          </cell>
          <cell r="BU54">
            <v>-254385.66</v>
          </cell>
          <cell r="BV54">
            <v>-137205.85</v>
          </cell>
          <cell r="BW54">
            <v>-312889.46000000002</v>
          </cell>
          <cell r="BX54">
            <v>-318441.01</v>
          </cell>
          <cell r="BY54">
            <v>-275499.25</v>
          </cell>
          <cell r="BZ54">
            <v>-188551.7</v>
          </cell>
          <cell r="CA54">
            <v>-81707.179999999993</v>
          </cell>
          <cell r="CB54">
            <v>-99929.600000000006</v>
          </cell>
          <cell r="CC54">
            <v>-81581.070000000007</v>
          </cell>
          <cell r="CD54">
            <v>-116176.97</v>
          </cell>
          <cell r="CE54">
            <v>-135794.25</v>
          </cell>
          <cell r="CF54">
            <v>-81781.990000000005</v>
          </cell>
          <cell r="CG54">
            <v>-127388.18</v>
          </cell>
          <cell r="CH54">
            <v>-174165.36</v>
          </cell>
          <cell r="CI54">
            <v>198208.78</v>
          </cell>
          <cell r="CJ54">
            <v>-430055.79</v>
          </cell>
          <cell r="CK54">
            <v>-185739.09</v>
          </cell>
          <cell r="CL54">
            <v>-232601.32</v>
          </cell>
          <cell r="CM54">
            <v>-230731.56</v>
          </cell>
          <cell r="CN54">
            <v>-158534.47</v>
          </cell>
          <cell r="CO54">
            <v>-143837.04999999999</v>
          </cell>
          <cell r="CP54">
            <v>-244966.11</v>
          </cell>
          <cell r="CQ54">
            <v>-154773.25</v>
          </cell>
          <cell r="CR54">
            <v>-209421.87</v>
          </cell>
          <cell r="CS54">
            <v>-209392.79</v>
          </cell>
          <cell r="CT54">
            <v>-291815.90999999997</v>
          </cell>
          <cell r="CU54">
            <v>-435570.93</v>
          </cell>
          <cell r="CV54">
            <v>-453938.92</v>
          </cell>
          <cell r="CW54">
            <v>-405365.2</v>
          </cell>
          <cell r="CX54">
            <v>-284993.32</v>
          </cell>
          <cell r="CY54">
            <v>-330408.37</v>
          </cell>
          <cell r="CZ54">
            <v>-355928.22</v>
          </cell>
          <cell r="DA54">
            <v>-140148.31</v>
          </cell>
          <cell r="DB54">
            <v>-164022.45000000001</v>
          </cell>
          <cell r="DC54">
            <v>-257721.34</v>
          </cell>
          <cell r="DD54">
            <v>-217993.87</v>
          </cell>
          <cell r="DE54">
            <v>-261097.97</v>
          </cell>
          <cell r="DF54">
            <v>-38278.9</v>
          </cell>
          <cell r="DG54">
            <v>-243802.5</v>
          </cell>
          <cell r="DH54">
            <v>-3153699.37</v>
          </cell>
        </row>
        <row r="55">
          <cell r="A55" t="str">
            <v>4810056</v>
          </cell>
          <cell r="B55" t="str">
            <v>4810056</v>
          </cell>
          <cell r="C55" t="str">
            <v>GenSvc Lg Vol 4</v>
          </cell>
          <cell r="D55">
            <v>-4811.1099999999997</v>
          </cell>
          <cell r="E55">
            <v>-4735.33</v>
          </cell>
          <cell r="F55">
            <v>-8284.2000000000007</v>
          </cell>
          <cell r="G55">
            <v>-11401.26</v>
          </cell>
          <cell r="H55">
            <v>-9491.98</v>
          </cell>
          <cell r="I55">
            <v>-10712.02</v>
          </cell>
          <cell r="J55">
            <v>-12202.71</v>
          </cell>
          <cell r="K55">
            <v>-4803.49</v>
          </cell>
          <cell r="L55">
            <v>-13258.45</v>
          </cell>
          <cell r="M55">
            <v>-13705.09</v>
          </cell>
          <cell r="N55">
            <v>-13058.87</v>
          </cell>
          <cell r="O55">
            <v>-18011.47</v>
          </cell>
          <cell r="P55">
            <v>-19784.61</v>
          </cell>
          <cell r="Q55">
            <v>-24933.58</v>
          </cell>
          <cell r="R55">
            <v>-20626.72</v>
          </cell>
          <cell r="S55">
            <v>-21539.65</v>
          </cell>
          <cell r="T55">
            <v>-23951.08</v>
          </cell>
          <cell r="U55">
            <v>-25507.32</v>
          </cell>
          <cell r="V55">
            <v>-12683.62</v>
          </cell>
          <cell r="W55">
            <v>-14189.79</v>
          </cell>
          <cell r="X55">
            <v>-13371.53</v>
          </cell>
          <cell r="Y55">
            <v>-13344.03</v>
          </cell>
          <cell r="Z55">
            <v>-12858.07</v>
          </cell>
          <cell r="AA55">
            <v>-17201.900000000001</v>
          </cell>
          <cell r="AB55">
            <v>-18790.3</v>
          </cell>
          <cell r="AC55">
            <v>-21207.52</v>
          </cell>
          <cell r="AD55">
            <v>-24151.17</v>
          </cell>
          <cell r="AE55">
            <v>-19818.63</v>
          </cell>
          <cell r="AF55">
            <v>-23217.4</v>
          </cell>
          <cell r="AG55">
            <v>-19094.490000000002</v>
          </cell>
          <cell r="AH55">
            <v>-17710.86</v>
          </cell>
          <cell r="AI55">
            <v>-17706.560000000001</v>
          </cell>
          <cell r="AJ55">
            <v>-17684.16</v>
          </cell>
          <cell r="AK55">
            <v>-20208.759999999998</v>
          </cell>
          <cell r="AL55">
            <v>-19050.490000000002</v>
          </cell>
          <cell r="AM55">
            <v>-20151.45</v>
          </cell>
          <cell r="AN55">
            <v>-23862.01</v>
          </cell>
          <cell r="AO55">
            <v>-28029.57</v>
          </cell>
          <cell r="AP55">
            <v>-21777.16</v>
          </cell>
          <cell r="AQ55">
            <v>-26416.52</v>
          </cell>
          <cell r="AR55">
            <v>-22373.279999999999</v>
          </cell>
          <cell r="AS55">
            <v>-31241.1</v>
          </cell>
          <cell r="AT55">
            <v>-17335.8</v>
          </cell>
          <cell r="AU55">
            <v>0</v>
          </cell>
          <cell r="AV55">
            <v>-5288.21</v>
          </cell>
          <cell r="AW55">
            <v>-5413.21</v>
          </cell>
          <cell r="AX55">
            <v>5256</v>
          </cell>
          <cell r="AY55">
            <v>-2258.13</v>
          </cell>
          <cell r="AZ55">
            <v>0</v>
          </cell>
          <cell r="BA55">
            <v>-594.41</v>
          </cell>
          <cell r="BB55">
            <v>0</v>
          </cell>
          <cell r="BC55">
            <v>0</v>
          </cell>
          <cell r="BD55">
            <v>-250</v>
          </cell>
          <cell r="BE55">
            <v>-301.20999999999998</v>
          </cell>
          <cell r="BF55">
            <v>-8200.81</v>
          </cell>
          <cell r="BG55">
            <v>-1529.28</v>
          </cell>
          <cell r="BH55">
            <v>-251.58</v>
          </cell>
          <cell r="BI55">
            <v>-500</v>
          </cell>
          <cell r="BJ55">
            <v>-14799.18</v>
          </cell>
          <cell r="BK55">
            <v>-5856.22</v>
          </cell>
          <cell r="BL55">
            <v>-2837.6</v>
          </cell>
          <cell r="BM55">
            <v>-4803.3500000000004</v>
          </cell>
          <cell r="BN55">
            <v>-2924.52</v>
          </cell>
          <cell r="BO55">
            <v>-21547.4</v>
          </cell>
          <cell r="BP55">
            <v>-421.28</v>
          </cell>
          <cell r="BQ55">
            <v>-283.33</v>
          </cell>
          <cell r="BR55">
            <v>-3248.73</v>
          </cell>
          <cell r="BS55">
            <v>208.44</v>
          </cell>
          <cell r="BT55">
            <v>-1460.05</v>
          </cell>
          <cell r="BU55">
            <v>-2704.85</v>
          </cell>
          <cell r="BV55">
            <v>-13747.47</v>
          </cell>
          <cell r="BW55">
            <v>-9293.77</v>
          </cell>
          <cell r="BX55">
            <v>-20776.2</v>
          </cell>
          <cell r="BY55">
            <v>-17713.29</v>
          </cell>
          <cell r="BZ55">
            <v>-18029.900000000001</v>
          </cell>
          <cell r="CA55">
            <v>-17244.02</v>
          </cell>
          <cell r="CB55">
            <v>-16945.150000000001</v>
          </cell>
          <cell r="CC55">
            <v>-5387.37</v>
          </cell>
          <cell r="CD55">
            <v>-9602.86</v>
          </cell>
          <cell r="CE55">
            <v>-10635.59</v>
          </cell>
          <cell r="CF55">
            <v>-7411.54</v>
          </cell>
          <cell r="CG55">
            <v>-8912.1200000000008</v>
          </cell>
          <cell r="CH55">
            <v>-23354.55</v>
          </cell>
          <cell r="CI55">
            <v>-16856.95</v>
          </cell>
          <cell r="CJ55">
            <v>-2319.7800000000002</v>
          </cell>
          <cell r="CK55">
            <v>-7992.95</v>
          </cell>
          <cell r="CL55">
            <v>-34684.04</v>
          </cell>
          <cell r="CM55">
            <v>-9129</v>
          </cell>
          <cell r="CN55">
            <v>-8863.8700000000008</v>
          </cell>
          <cell r="CO55">
            <v>-7372.7</v>
          </cell>
          <cell r="CP55">
            <v>-1984.3</v>
          </cell>
          <cell r="CQ55">
            <v>-1751.14</v>
          </cell>
          <cell r="CR55">
            <v>-12194.51</v>
          </cell>
          <cell r="CS55">
            <v>-2450.09</v>
          </cell>
          <cell r="CT55">
            <v>-1780.47</v>
          </cell>
          <cell r="CU55">
            <v>-5802.17</v>
          </cell>
          <cell r="CV55">
            <v>-5564.34</v>
          </cell>
          <cell r="CW55">
            <v>-9543.77</v>
          </cell>
          <cell r="CX55">
            <v>-2577.75</v>
          </cell>
          <cell r="CY55">
            <v>-40986.65</v>
          </cell>
          <cell r="CZ55">
            <v>-5177.95</v>
          </cell>
          <cell r="DA55">
            <v>-10541.78</v>
          </cell>
          <cell r="DB55">
            <v>-8984.07</v>
          </cell>
          <cell r="DC55">
            <v>-11729.85</v>
          </cell>
          <cell r="DD55">
            <v>-8743.49</v>
          </cell>
          <cell r="DE55">
            <v>-13807.41</v>
          </cell>
          <cell r="DF55">
            <v>-7494.19</v>
          </cell>
          <cell r="DG55">
            <v>-18064.79</v>
          </cell>
          <cell r="DH55">
            <v>-143216.04</v>
          </cell>
        </row>
        <row r="56">
          <cell r="A56" t="str">
            <v>4810057</v>
          </cell>
          <cell r="B56" t="str">
            <v>4810057</v>
          </cell>
          <cell r="C56" t="str">
            <v>GenSvc Lg Vol 4 Fuel</v>
          </cell>
          <cell r="D56">
            <v>-24938.13</v>
          </cell>
          <cell r="E56">
            <v>-24133</v>
          </cell>
          <cell r="F56">
            <v>-37417.589999999997</v>
          </cell>
          <cell r="G56">
            <v>-58371.48</v>
          </cell>
          <cell r="H56">
            <v>-44602.6</v>
          </cell>
          <cell r="I56">
            <v>-54315.98</v>
          </cell>
          <cell r="J56">
            <v>-63054.14</v>
          </cell>
          <cell r="K56">
            <v>-23407.26</v>
          </cell>
          <cell r="L56">
            <v>-68942.899999999994</v>
          </cell>
          <cell r="M56">
            <v>-66368.92</v>
          </cell>
          <cell r="N56">
            <v>-60407.8</v>
          </cell>
          <cell r="O56">
            <v>-86168</v>
          </cell>
          <cell r="P56">
            <v>-105150.91</v>
          </cell>
          <cell r="Q56">
            <v>-116650.97</v>
          </cell>
          <cell r="R56">
            <v>-94528.4</v>
          </cell>
          <cell r="S56">
            <v>-101709.41</v>
          </cell>
          <cell r="T56">
            <v>-117212.68</v>
          </cell>
          <cell r="U56">
            <v>-132297.97</v>
          </cell>
          <cell r="V56">
            <v>-65727.929999999993</v>
          </cell>
          <cell r="W56">
            <v>-74943.38</v>
          </cell>
          <cell r="X56">
            <v>-71525.77</v>
          </cell>
          <cell r="Y56">
            <v>-68703.42</v>
          </cell>
          <cell r="Z56">
            <v>-67567.7</v>
          </cell>
          <cell r="AA56">
            <v>-88284.36</v>
          </cell>
          <cell r="AB56">
            <v>-107356.8</v>
          </cell>
          <cell r="AC56">
            <v>-119119.05</v>
          </cell>
          <cell r="AD56">
            <v>-124214.64</v>
          </cell>
          <cell r="AE56">
            <v>-110932.65</v>
          </cell>
          <cell r="AF56">
            <v>-128523.56</v>
          </cell>
          <cell r="AG56">
            <v>-101697.86</v>
          </cell>
          <cell r="AH56">
            <v>-91112.16</v>
          </cell>
          <cell r="AI56">
            <v>-92387.19</v>
          </cell>
          <cell r="AJ56">
            <v>-87672.52</v>
          </cell>
          <cell r="AK56">
            <v>-99514.6</v>
          </cell>
          <cell r="AL56">
            <v>-90050.71</v>
          </cell>
          <cell r="AM56">
            <v>-94956.97</v>
          </cell>
          <cell r="AN56">
            <v>-114100.27</v>
          </cell>
          <cell r="AO56">
            <v>-130681.14</v>
          </cell>
          <cell r="AP56">
            <v>-109086.95</v>
          </cell>
          <cell r="AQ56">
            <v>-121661.9</v>
          </cell>
          <cell r="AR56">
            <v>-112088.8</v>
          </cell>
          <cell r="AS56">
            <v>-148144.20000000001</v>
          </cell>
          <cell r="AT56">
            <v>-86116.15</v>
          </cell>
          <cell r="AU56">
            <v>0</v>
          </cell>
          <cell r="AV56">
            <v>-28463.33</v>
          </cell>
          <cell r="AW56">
            <v>-28463.33</v>
          </cell>
          <cell r="AX56">
            <v>28372.02</v>
          </cell>
          <cell r="AY56">
            <v>-8923.0499999999993</v>
          </cell>
          <cell r="AZ56">
            <v>0</v>
          </cell>
          <cell r="BA56">
            <v>-2392.7399999999998</v>
          </cell>
          <cell r="BB56">
            <v>0</v>
          </cell>
          <cell r="BC56">
            <v>0</v>
          </cell>
          <cell r="BD56">
            <v>0</v>
          </cell>
          <cell r="BE56">
            <v>-292.54000000000002</v>
          </cell>
          <cell r="BF56">
            <v>-43988.52</v>
          </cell>
          <cell r="BG56">
            <v>-7307.48</v>
          </cell>
          <cell r="BH56">
            <v>-6.25</v>
          </cell>
          <cell r="BI56">
            <v>0</v>
          </cell>
          <cell r="BJ56">
            <v>-15957.27</v>
          </cell>
          <cell r="BK56">
            <v>-48291.9</v>
          </cell>
          <cell r="BL56">
            <v>-12681.57</v>
          </cell>
          <cell r="BM56">
            <v>-19078.810000000001</v>
          </cell>
          <cell r="BN56">
            <v>-11953.74</v>
          </cell>
          <cell r="BO56">
            <v>-17354.72</v>
          </cell>
          <cell r="BP56">
            <v>-66.489999999999995</v>
          </cell>
          <cell r="BQ56">
            <v>-977.53</v>
          </cell>
          <cell r="BR56">
            <v>17007.63</v>
          </cell>
          <cell r="BS56">
            <v>4856.72</v>
          </cell>
          <cell r="BT56">
            <v>-3753.94</v>
          </cell>
          <cell r="BU56">
            <v>-11898.2</v>
          </cell>
          <cell r="BV56">
            <v>-71042.8</v>
          </cell>
          <cell r="BW56">
            <v>-47701.22</v>
          </cell>
          <cell r="BX56">
            <v>-112814.03</v>
          </cell>
          <cell r="BY56">
            <v>-90313.62</v>
          </cell>
          <cell r="BZ56">
            <v>-89936.06</v>
          </cell>
          <cell r="CA56">
            <v>-84753.06</v>
          </cell>
          <cell r="CB56">
            <v>-69877.5</v>
          </cell>
          <cell r="CC56">
            <v>-22546.560000000001</v>
          </cell>
          <cell r="CD56">
            <v>-29398.34</v>
          </cell>
          <cell r="CE56">
            <v>-43815.25</v>
          </cell>
          <cell r="CF56">
            <v>-32956.22</v>
          </cell>
          <cell r="CG56">
            <v>-39859.82</v>
          </cell>
          <cell r="CH56">
            <v>-109195.82</v>
          </cell>
          <cell r="CI56">
            <v>-81091.98</v>
          </cell>
          <cell r="CJ56">
            <v>46282.6</v>
          </cell>
          <cell r="CK56">
            <v>-28210.79</v>
          </cell>
          <cell r="CL56">
            <v>-124654.11</v>
          </cell>
          <cell r="CM56">
            <v>-33677.339999999997</v>
          </cell>
          <cell r="CN56">
            <v>-35266.74</v>
          </cell>
          <cell r="CO56">
            <v>-30448.6</v>
          </cell>
          <cell r="CP56">
            <v>-3792.75</v>
          </cell>
          <cell r="CQ56">
            <v>-2420.21</v>
          </cell>
          <cell r="CR56">
            <v>-40066.449999999997</v>
          </cell>
          <cell r="CS56">
            <v>-4765.0200000000004</v>
          </cell>
          <cell r="CT56">
            <v>-2592.85</v>
          </cell>
          <cell r="CU56">
            <v>-16980.150000000001</v>
          </cell>
          <cell r="CV56">
            <v>-17051.96</v>
          </cell>
          <cell r="CW56">
            <v>-38532.86</v>
          </cell>
          <cell r="CX56">
            <v>-3617.27</v>
          </cell>
          <cell r="CY56">
            <v>-170856.51</v>
          </cell>
          <cell r="CZ56">
            <v>-18222.849999999999</v>
          </cell>
          <cell r="DA56">
            <v>-44268.33</v>
          </cell>
          <cell r="DB56">
            <v>-44433.26</v>
          </cell>
          <cell r="DC56">
            <v>-28976.84</v>
          </cell>
          <cell r="DD56">
            <v>-59232.73</v>
          </cell>
          <cell r="DE56">
            <v>-91734.73</v>
          </cell>
          <cell r="DF56">
            <v>-9445</v>
          </cell>
          <cell r="DG56">
            <v>-77407.72</v>
          </cell>
          <cell r="DH56">
            <v>-603780.06000000006</v>
          </cell>
        </row>
        <row r="57">
          <cell r="A57" t="str">
            <v>4810058</v>
          </cell>
          <cell r="B57" t="str">
            <v>4810058</v>
          </cell>
          <cell r="C57" t="str">
            <v>GenSvc Lg Vol 5</v>
          </cell>
          <cell r="D57">
            <v>-3669.97</v>
          </cell>
          <cell r="E57">
            <v>-3595.61</v>
          </cell>
          <cell r="F57">
            <v>-3329.02</v>
          </cell>
          <cell r="G57">
            <v>-5372</v>
          </cell>
          <cell r="H57">
            <v>-2247.1999999999998</v>
          </cell>
          <cell r="I57">
            <v>-2786.77</v>
          </cell>
          <cell r="J57">
            <v>-2519.61</v>
          </cell>
          <cell r="K57">
            <v>-5494.08</v>
          </cell>
          <cell r="L57">
            <v>-2817.53</v>
          </cell>
          <cell r="M57">
            <v>0</v>
          </cell>
          <cell r="N57">
            <v>-6589.65</v>
          </cell>
          <cell r="O57">
            <v>-8227.4500000000007</v>
          </cell>
          <cell r="P57">
            <v>-7011.7</v>
          </cell>
          <cell r="Q57">
            <v>-4298.9399999999996</v>
          </cell>
          <cell r="R57">
            <v>-3964.99</v>
          </cell>
          <cell r="S57">
            <v>-2420.17</v>
          </cell>
          <cell r="T57">
            <v>-5507.13</v>
          </cell>
          <cell r="U57">
            <v>-2714.7</v>
          </cell>
          <cell r="V57">
            <v>-24975.5</v>
          </cell>
          <cell r="W57">
            <v>-8503.86</v>
          </cell>
          <cell r="X57">
            <v>-9100.35</v>
          </cell>
          <cell r="Y57">
            <v>-11566.56</v>
          </cell>
          <cell r="Z57">
            <v>-15079.25</v>
          </cell>
          <cell r="AA57">
            <v>-18217.41</v>
          </cell>
          <cell r="AB57">
            <v>-14329.62</v>
          </cell>
          <cell r="AC57">
            <v>-13469.93</v>
          </cell>
          <cell r="AD57">
            <v>-11065.4</v>
          </cell>
          <cell r="AE57">
            <v>-2211.25</v>
          </cell>
          <cell r="AF57">
            <v>-3774.53</v>
          </cell>
          <cell r="AG57">
            <v>-4595.49</v>
          </cell>
          <cell r="AH57">
            <v>-5519.99</v>
          </cell>
          <cell r="AI57">
            <v>-2692.64</v>
          </cell>
          <cell r="AJ57">
            <v>0</v>
          </cell>
          <cell r="AK57">
            <v>-7766.28</v>
          </cell>
          <cell r="AL57">
            <v>-3943.64</v>
          </cell>
          <cell r="AM57">
            <v>-4062.18</v>
          </cell>
          <cell r="AN57">
            <v>-3551.55</v>
          </cell>
          <cell r="AO57">
            <v>-4656.6099999999997</v>
          </cell>
          <cell r="AP57">
            <v>-4803.6499999999996</v>
          </cell>
          <cell r="AQ57">
            <v>-6969.46</v>
          </cell>
          <cell r="AR57">
            <v>-2644.61</v>
          </cell>
          <cell r="AS57">
            <v>-2647.92</v>
          </cell>
          <cell r="AT57">
            <v>-6052.49</v>
          </cell>
          <cell r="AU57">
            <v>-15321.8</v>
          </cell>
          <cell r="AV57">
            <v>-14898.17</v>
          </cell>
          <cell r="AW57">
            <v>-17578.509999999998</v>
          </cell>
          <cell r="AX57">
            <v>-33407.83</v>
          </cell>
          <cell r="AY57">
            <v>-49647.1</v>
          </cell>
          <cell r="AZ57">
            <v>5035.26</v>
          </cell>
          <cell r="BA57">
            <v>-19422.27</v>
          </cell>
          <cell r="BB57">
            <v>-18335.13</v>
          </cell>
          <cell r="BC57">
            <v>-19578.169999999998</v>
          </cell>
          <cell r="BD57">
            <v>-27626.880000000001</v>
          </cell>
          <cell r="BE57">
            <v>-5732.15</v>
          </cell>
          <cell r="BF57">
            <v>-2707.46</v>
          </cell>
          <cell r="BG57">
            <v>-3395.06</v>
          </cell>
          <cell r="BH57">
            <v>-437.19</v>
          </cell>
          <cell r="BI57">
            <v>-385.65</v>
          </cell>
          <cell r="BJ57">
            <v>-2955.46</v>
          </cell>
          <cell r="BK57">
            <v>-21762.42</v>
          </cell>
          <cell r="BL57">
            <v>-4315.05</v>
          </cell>
          <cell r="BM57">
            <v>-3675.9</v>
          </cell>
          <cell r="BN57">
            <v>-6521.56</v>
          </cell>
          <cell r="BO57">
            <v>-4329.57</v>
          </cell>
          <cell r="BP57">
            <v>-296.36</v>
          </cell>
          <cell r="BQ57">
            <v>-2685.06</v>
          </cell>
          <cell r="BR57">
            <v>-7055.58</v>
          </cell>
          <cell r="BS57">
            <v>-328.99</v>
          </cell>
          <cell r="BT57">
            <v>-17982.23</v>
          </cell>
          <cell r="BU57">
            <v>-4462</v>
          </cell>
          <cell r="BV57">
            <v>-7088.93</v>
          </cell>
          <cell r="BW57">
            <v>-11295.2</v>
          </cell>
          <cell r="BX57">
            <v>-15026.47</v>
          </cell>
          <cell r="BY57">
            <v>-21012.66</v>
          </cell>
          <cell r="BZ57">
            <v>-17619.009999999998</v>
          </cell>
          <cell r="CA57">
            <v>-18963.060000000001</v>
          </cell>
          <cell r="CB57">
            <v>-19589.23</v>
          </cell>
          <cell r="CC57">
            <v>-24569.01</v>
          </cell>
          <cell r="CD57">
            <v>-19851.13</v>
          </cell>
          <cell r="CE57">
            <v>-19268.560000000001</v>
          </cell>
          <cell r="CF57">
            <v>-15870.46</v>
          </cell>
          <cell r="CG57">
            <v>-17174.560000000001</v>
          </cell>
          <cell r="CH57">
            <v>-18484.36</v>
          </cell>
          <cell r="CI57">
            <v>-9004.18</v>
          </cell>
          <cell r="CJ57">
            <v>-66451.08</v>
          </cell>
          <cell r="CK57">
            <v>-83318.25</v>
          </cell>
          <cell r="CL57">
            <v>-67469.899999999994</v>
          </cell>
          <cell r="CM57">
            <v>-62184.4</v>
          </cell>
          <cell r="CN57">
            <v>-55039.57</v>
          </cell>
          <cell r="CO57">
            <v>-49382.49</v>
          </cell>
          <cell r="CP57">
            <v>-49729.57</v>
          </cell>
          <cell r="CQ57">
            <v>-44175.199999999997</v>
          </cell>
          <cell r="CR57">
            <v>-63635.95</v>
          </cell>
          <cell r="CS57">
            <v>-57157.85</v>
          </cell>
          <cell r="CT57">
            <v>-34556.17</v>
          </cell>
          <cell r="CU57">
            <v>-48308.28</v>
          </cell>
          <cell r="CV57">
            <v>-87336.86</v>
          </cell>
          <cell r="CW57">
            <v>11471.84</v>
          </cell>
          <cell r="CX57">
            <v>-49376.21</v>
          </cell>
          <cell r="CY57">
            <v>-60494.46</v>
          </cell>
          <cell r="CZ57">
            <v>-58697.440000000002</v>
          </cell>
          <cell r="DA57">
            <v>-133161.29</v>
          </cell>
          <cell r="DB57">
            <v>59825.15</v>
          </cell>
          <cell r="DC57">
            <v>-45988.160000000003</v>
          </cell>
          <cell r="DD57">
            <v>-37922.25</v>
          </cell>
          <cell r="DE57">
            <v>-42004.33</v>
          </cell>
          <cell r="DF57">
            <v>-38054.050000000003</v>
          </cell>
          <cell r="DG57">
            <v>-35500.67</v>
          </cell>
          <cell r="DH57">
            <v>-517238.73000000004</v>
          </cell>
        </row>
        <row r="58">
          <cell r="A58" t="str">
            <v>4810059</v>
          </cell>
          <cell r="B58" t="str">
            <v>4810059</v>
          </cell>
          <cell r="C58" t="str">
            <v>GenSvc Lg Vol 5 Fuel</v>
          </cell>
          <cell r="D58">
            <v>-28349.75</v>
          </cell>
          <cell r="E58">
            <v>-25919.71</v>
          </cell>
          <cell r="F58">
            <v>-23077.94</v>
          </cell>
          <cell r="G58">
            <v>-34664.5</v>
          </cell>
          <cell r="H58">
            <v>-15065.79</v>
          </cell>
          <cell r="I58">
            <v>-19548.560000000001</v>
          </cell>
          <cell r="J58">
            <v>-17869.59</v>
          </cell>
          <cell r="K58">
            <v>-35586.14</v>
          </cell>
          <cell r="L58">
            <v>-19779.55</v>
          </cell>
          <cell r="M58">
            <v>0</v>
          </cell>
          <cell r="N58">
            <v>-40747.410000000003</v>
          </cell>
          <cell r="O58">
            <v>-52175.199999999997</v>
          </cell>
          <cell r="P58">
            <v>-44021.88</v>
          </cell>
          <cell r="Q58">
            <v>-31153.91</v>
          </cell>
          <cell r="R58">
            <v>-24135.75</v>
          </cell>
          <cell r="S58">
            <v>-15182.64</v>
          </cell>
          <cell r="T58">
            <v>-34838.74</v>
          </cell>
          <cell r="U58">
            <v>-17168.669999999998</v>
          </cell>
          <cell r="V58">
            <v>-173361.5</v>
          </cell>
          <cell r="W58">
            <v>-49249.27</v>
          </cell>
          <cell r="X58">
            <v>-73978.75</v>
          </cell>
          <cell r="Y58">
            <v>-77719.63</v>
          </cell>
          <cell r="Z58">
            <v>-102059.06</v>
          </cell>
          <cell r="AA58">
            <v>-106660.81</v>
          </cell>
          <cell r="AB58">
            <v>-101836.36</v>
          </cell>
          <cell r="AC58">
            <v>-99553.18</v>
          </cell>
          <cell r="AD58">
            <v>-77262.8</v>
          </cell>
          <cell r="AE58">
            <v>-16646.47</v>
          </cell>
          <cell r="AF58">
            <v>-11691.14</v>
          </cell>
          <cell r="AG58">
            <v>-24982.75</v>
          </cell>
          <cell r="AH58">
            <v>-35174.89</v>
          </cell>
          <cell r="AI58">
            <v>-17640.98</v>
          </cell>
          <cell r="AJ58">
            <v>0</v>
          </cell>
          <cell r="AK58">
            <v>-44042.61</v>
          </cell>
          <cell r="AL58">
            <v>-21049.55</v>
          </cell>
          <cell r="AM58">
            <v>-22096.03</v>
          </cell>
          <cell r="AN58">
            <v>-19301.13</v>
          </cell>
          <cell r="AO58">
            <v>-26721.040000000001</v>
          </cell>
          <cell r="AP58">
            <v>-29219.08</v>
          </cell>
          <cell r="AQ58">
            <v>-34321.39</v>
          </cell>
          <cell r="AR58">
            <v>-15962.09</v>
          </cell>
          <cell r="AS58">
            <v>-15649.53</v>
          </cell>
          <cell r="AT58">
            <v>-30775.13</v>
          </cell>
          <cell r="AU58">
            <v>-108467.5</v>
          </cell>
          <cell r="AV58">
            <v>-113687.82</v>
          </cell>
          <cell r="AW58">
            <v>-133643.32999999999</v>
          </cell>
          <cell r="AX58">
            <v>-209694.74</v>
          </cell>
          <cell r="AY58">
            <v>-310950.90999999997</v>
          </cell>
          <cell r="AZ58">
            <v>-38084.68</v>
          </cell>
          <cell r="BA58">
            <v>-158031.63</v>
          </cell>
          <cell r="BB58">
            <v>-138858.66</v>
          </cell>
          <cell r="BC58">
            <v>-151095.10999999999</v>
          </cell>
          <cell r="BD58">
            <v>-215338.92</v>
          </cell>
          <cell r="BE58">
            <v>-35516.89</v>
          </cell>
          <cell r="BF58">
            <v>-15641.6</v>
          </cell>
          <cell r="BG58">
            <v>-14819.91</v>
          </cell>
          <cell r="BH58">
            <v>-1136.69</v>
          </cell>
          <cell r="BI58">
            <v>-345.21</v>
          </cell>
          <cell r="BJ58">
            <v>-12038.11</v>
          </cell>
          <cell r="BK58">
            <v>-128743.62</v>
          </cell>
          <cell r="BL58">
            <v>-26477.17</v>
          </cell>
          <cell r="BM58">
            <v>-9626.27</v>
          </cell>
          <cell r="BN58">
            <v>-45638.94</v>
          </cell>
          <cell r="BO58">
            <v>-70292.31</v>
          </cell>
          <cell r="BP58">
            <v>-1356.15</v>
          </cell>
          <cell r="BQ58">
            <v>-10884.1</v>
          </cell>
          <cell r="BR58">
            <v>-28009.27</v>
          </cell>
          <cell r="BS58">
            <v>-352.43</v>
          </cell>
          <cell r="BT58">
            <v>-144427.99</v>
          </cell>
          <cell r="BU58">
            <v>-31241.32</v>
          </cell>
          <cell r="BV58">
            <v>-45168.62</v>
          </cell>
          <cell r="BW58">
            <v>-70161.33</v>
          </cell>
          <cell r="BX58">
            <v>-88543.15</v>
          </cell>
          <cell r="BY58">
            <v>-149068.54999999999</v>
          </cell>
          <cell r="BZ58">
            <v>-119561.29</v>
          </cell>
          <cell r="CA58">
            <v>-129313.09</v>
          </cell>
          <cell r="CB58">
            <v>-131787.99</v>
          </cell>
          <cell r="CC58">
            <v>-161332.46</v>
          </cell>
          <cell r="CD58">
            <v>-132029.51999999999</v>
          </cell>
          <cell r="CE58">
            <v>-109928.41</v>
          </cell>
          <cell r="CF58">
            <v>-104268.86</v>
          </cell>
          <cell r="CG58">
            <v>-119698.18</v>
          </cell>
          <cell r="CH58">
            <v>-130293.01</v>
          </cell>
          <cell r="CI58">
            <v>-39545.58</v>
          </cell>
          <cell r="CJ58">
            <v>-367436.11</v>
          </cell>
          <cell r="CK58">
            <v>-506615.34</v>
          </cell>
          <cell r="CL58">
            <v>-489984.36</v>
          </cell>
          <cell r="CM58">
            <v>-425273.78</v>
          </cell>
          <cell r="CN58">
            <v>-309068.88</v>
          </cell>
          <cell r="CO58">
            <v>-361411.72</v>
          </cell>
          <cell r="CP58">
            <v>-296723.52</v>
          </cell>
          <cell r="CQ58">
            <v>-328492.40999999997</v>
          </cell>
          <cell r="CR58">
            <v>-466885.97</v>
          </cell>
          <cell r="CS58">
            <v>-397354.72</v>
          </cell>
          <cell r="CT58">
            <v>-255304.72</v>
          </cell>
          <cell r="CU58">
            <v>-359323.55</v>
          </cell>
          <cell r="CV58">
            <v>-683115.55</v>
          </cell>
          <cell r="CW58">
            <v>90677.69</v>
          </cell>
          <cell r="CX58">
            <v>-405140.04</v>
          </cell>
          <cell r="CY58">
            <v>-464569.98</v>
          </cell>
          <cell r="CZ58">
            <v>-373929.75</v>
          </cell>
          <cell r="DA58">
            <v>-1064698.1499999999</v>
          </cell>
          <cell r="DB58">
            <v>368143.61</v>
          </cell>
          <cell r="DC58">
            <v>-390083.52</v>
          </cell>
          <cell r="DD58">
            <v>-342207.94</v>
          </cell>
          <cell r="DE58">
            <v>-441535.64</v>
          </cell>
          <cell r="DF58">
            <v>-235959.33</v>
          </cell>
          <cell r="DG58">
            <v>-235237.85</v>
          </cell>
          <cell r="DH58">
            <v>-4177656.4500000007</v>
          </cell>
        </row>
        <row r="59">
          <cell r="A59" t="str">
            <v>4810060</v>
          </cell>
          <cell r="B59" t="str">
            <v>4810060</v>
          </cell>
          <cell r="C59" t="str">
            <v>Intrpt Small</v>
          </cell>
          <cell r="D59">
            <v>-3565.88</v>
          </cell>
          <cell r="E59">
            <v>-7376.13</v>
          </cell>
          <cell r="F59">
            <v>-4169.6499999999996</v>
          </cell>
          <cell r="G59">
            <v>-6643.39</v>
          </cell>
          <cell r="H59">
            <v>-304.7</v>
          </cell>
          <cell r="I59">
            <v>0</v>
          </cell>
          <cell r="J59">
            <v>-4081.91</v>
          </cell>
          <cell r="K59">
            <v>0</v>
          </cell>
          <cell r="L59">
            <v>-6048.42</v>
          </cell>
          <cell r="M59">
            <v>-300</v>
          </cell>
          <cell r="N59">
            <v>-113.03</v>
          </cell>
          <cell r="O59">
            <v>-8802.81</v>
          </cell>
          <cell r="P59">
            <v>-1498.17</v>
          </cell>
          <cell r="Q59">
            <v>-2430.37</v>
          </cell>
          <cell r="R59">
            <v>-12239.28</v>
          </cell>
          <cell r="S59">
            <v>-3180.92</v>
          </cell>
          <cell r="T59">
            <v>-2573.15</v>
          </cell>
          <cell r="U59">
            <v>-466.98</v>
          </cell>
          <cell r="V59">
            <v>-6667.96</v>
          </cell>
          <cell r="W59">
            <v>-3629.1</v>
          </cell>
          <cell r="X59">
            <v>-1057.43</v>
          </cell>
          <cell r="Y59">
            <v>-300</v>
          </cell>
          <cell r="Z59">
            <v>-1167.18</v>
          </cell>
          <cell r="AA59">
            <v>-307.24</v>
          </cell>
          <cell r="AB59">
            <v>-1478.15</v>
          </cell>
          <cell r="AC59">
            <v>-9730.94</v>
          </cell>
          <cell r="AD59">
            <v>-2484.04</v>
          </cell>
          <cell r="AE59">
            <v>-2836.03</v>
          </cell>
          <cell r="AF59">
            <v>0</v>
          </cell>
          <cell r="AG59">
            <v>-2671.51</v>
          </cell>
          <cell r="AH59">
            <v>-9163.34</v>
          </cell>
          <cell r="AI59">
            <v>-18612.89</v>
          </cell>
          <cell r="AJ59">
            <v>-87.86</v>
          </cell>
          <cell r="AK59">
            <v>-3931.39</v>
          </cell>
          <cell r="AL59">
            <v>-8297.9</v>
          </cell>
          <cell r="AM59">
            <v>-6805.8</v>
          </cell>
          <cell r="AN59">
            <v>-7956.87</v>
          </cell>
          <cell r="AO59">
            <v>-3460.37</v>
          </cell>
          <cell r="AP59">
            <v>-4860.3500000000004</v>
          </cell>
          <cell r="AQ59">
            <v>-3657.85</v>
          </cell>
          <cell r="AR59">
            <v>-2373.5100000000002</v>
          </cell>
          <cell r="AS59">
            <v>-300</v>
          </cell>
          <cell r="AT59">
            <v>-1065.58</v>
          </cell>
          <cell r="AU59">
            <v>-2814.13</v>
          </cell>
          <cell r="AV59">
            <v>-1674.43</v>
          </cell>
          <cell r="AW59">
            <v>-14905.45</v>
          </cell>
          <cell r="AX59">
            <v>-6791.85</v>
          </cell>
          <cell r="AY59">
            <v>-3858.31</v>
          </cell>
          <cell r="AZ59">
            <v>-4556.78</v>
          </cell>
          <cell r="BA59">
            <v>-908.83</v>
          </cell>
          <cell r="BB59">
            <v>-304.43</v>
          </cell>
          <cell r="BC59">
            <v>-799.34</v>
          </cell>
          <cell r="BD59">
            <v>-1575.7</v>
          </cell>
          <cell r="BE59">
            <v>-318.01</v>
          </cell>
          <cell r="BF59">
            <v>-308.58</v>
          </cell>
          <cell r="BG59">
            <v>-36.340000000000003</v>
          </cell>
          <cell r="BH59">
            <v>0</v>
          </cell>
          <cell r="BI59">
            <v>-93.86</v>
          </cell>
          <cell r="BJ59">
            <v>-357.83</v>
          </cell>
          <cell r="BK59">
            <v>-14223.88</v>
          </cell>
          <cell r="BL59">
            <v>-633.22</v>
          </cell>
          <cell r="BM59">
            <v>-1422.89</v>
          </cell>
          <cell r="BN59">
            <v>0</v>
          </cell>
          <cell r="BO59">
            <v>-1025.94</v>
          </cell>
          <cell r="BP59">
            <v>0</v>
          </cell>
          <cell r="BQ59">
            <v>0</v>
          </cell>
          <cell r="BR59">
            <v>-437.35</v>
          </cell>
          <cell r="BS59">
            <v>0</v>
          </cell>
          <cell r="BT59">
            <v>0</v>
          </cell>
          <cell r="BU59">
            <v>0</v>
          </cell>
          <cell r="BV59">
            <v>0</v>
          </cell>
          <cell r="BW59">
            <v>-2302.5500000000002</v>
          </cell>
          <cell r="BX59">
            <v>0</v>
          </cell>
          <cell r="BY59">
            <v>0</v>
          </cell>
          <cell r="BZ59">
            <v>0</v>
          </cell>
          <cell r="CA59">
            <v>0</v>
          </cell>
          <cell r="CB59">
            <v>0</v>
          </cell>
          <cell r="CC59">
            <v>0</v>
          </cell>
          <cell r="CD59">
            <v>0</v>
          </cell>
          <cell r="CE59">
            <v>0</v>
          </cell>
          <cell r="CF59">
            <v>0</v>
          </cell>
          <cell r="CG59">
            <v>0</v>
          </cell>
          <cell r="CH59">
            <v>-3336.05</v>
          </cell>
          <cell r="CI59">
            <v>0</v>
          </cell>
          <cell r="CJ59">
            <v>-3083.7</v>
          </cell>
          <cell r="CK59">
            <v>0</v>
          </cell>
          <cell r="CL59">
            <v>0</v>
          </cell>
          <cell r="CM59">
            <v>0</v>
          </cell>
          <cell r="CN59">
            <v>-449.53</v>
          </cell>
          <cell r="CO59">
            <v>0</v>
          </cell>
          <cell r="CP59">
            <v>-157.44999999999999</v>
          </cell>
          <cell r="CQ59">
            <v>157.44999999999999</v>
          </cell>
          <cell r="CR59">
            <v>-2144.85</v>
          </cell>
          <cell r="CS59">
            <v>-4701.42</v>
          </cell>
          <cell r="CT59">
            <v>-456.73</v>
          </cell>
          <cell r="CU59">
            <v>-3535.43</v>
          </cell>
          <cell r="CV59">
            <v>0.05</v>
          </cell>
          <cell r="CW59">
            <v>-18655.099999999999</v>
          </cell>
          <cell r="CX59">
            <v>0</v>
          </cell>
          <cell r="CY59">
            <v>0</v>
          </cell>
          <cell r="CZ59">
            <v>-24057.22</v>
          </cell>
          <cell r="DA59">
            <v>0</v>
          </cell>
          <cell r="DB59">
            <v>0</v>
          </cell>
          <cell r="DC59">
            <v>-3097.61</v>
          </cell>
          <cell r="DD59">
            <v>0</v>
          </cell>
          <cell r="DE59">
            <v>-26000.55</v>
          </cell>
          <cell r="DF59">
            <v>0</v>
          </cell>
          <cell r="DG59">
            <v>0</v>
          </cell>
          <cell r="DH59">
            <v>-71810.430000000008</v>
          </cell>
        </row>
        <row r="60">
          <cell r="A60" t="str">
            <v>4810061</v>
          </cell>
          <cell r="B60" t="str">
            <v>4810061</v>
          </cell>
          <cell r="C60" t="str">
            <v>Intrpt Small Fuel</v>
          </cell>
          <cell r="D60">
            <v>-40522.01</v>
          </cell>
          <cell r="E60">
            <v>-69973.929999999993</v>
          </cell>
          <cell r="F60">
            <v>-43225.49</v>
          </cell>
          <cell r="G60">
            <v>-56383.199999999997</v>
          </cell>
          <cell r="H60">
            <v>-53.45</v>
          </cell>
          <cell r="I60">
            <v>0</v>
          </cell>
          <cell r="J60">
            <v>-41098.65</v>
          </cell>
          <cell r="K60">
            <v>0</v>
          </cell>
          <cell r="L60">
            <v>-62760.35</v>
          </cell>
          <cell r="M60">
            <v>-3524.86</v>
          </cell>
          <cell r="N60">
            <v>-708.26</v>
          </cell>
          <cell r="O60">
            <v>-71054.59</v>
          </cell>
          <cell r="P60">
            <v>-14143.17</v>
          </cell>
          <cell r="Q60">
            <v>-24224.62</v>
          </cell>
          <cell r="R60">
            <v>-82533.81</v>
          </cell>
          <cell r="S60">
            <v>-30119.55</v>
          </cell>
          <cell r="T60">
            <v>-24487.59</v>
          </cell>
          <cell r="U60">
            <v>-1882.01</v>
          </cell>
          <cell r="V60">
            <v>-48851.18</v>
          </cell>
          <cell r="W60">
            <v>-32339.97</v>
          </cell>
          <cell r="X60">
            <v>-16800.37</v>
          </cell>
          <cell r="Y60">
            <v>0</v>
          </cell>
          <cell r="Z60">
            <v>-4249.54</v>
          </cell>
          <cell r="AA60">
            <v>-76.92</v>
          </cell>
          <cell r="AB60">
            <v>-14017.64</v>
          </cell>
          <cell r="AC60">
            <v>-65974.03</v>
          </cell>
          <cell r="AD60">
            <v>-28328.59</v>
          </cell>
          <cell r="AE60">
            <v>-31478.59</v>
          </cell>
          <cell r="AF60">
            <v>0</v>
          </cell>
          <cell r="AG60">
            <v>-79822.48</v>
          </cell>
          <cell r="AH60">
            <v>-93360.71</v>
          </cell>
          <cell r="AI60">
            <v>-99240.39</v>
          </cell>
          <cell r="AJ60">
            <v>-432.74</v>
          </cell>
          <cell r="AK60">
            <v>-40113.85</v>
          </cell>
          <cell r="AL60">
            <v>-76067.94</v>
          </cell>
          <cell r="AM60">
            <v>-34268.28</v>
          </cell>
          <cell r="AN60">
            <v>-70497.81</v>
          </cell>
          <cell r="AO60">
            <v>-132775.82</v>
          </cell>
          <cell r="AP60">
            <v>-32584.74</v>
          </cell>
          <cell r="AQ60">
            <v>-34609.300000000003</v>
          </cell>
          <cell r="AR60">
            <v>-22951.98</v>
          </cell>
          <cell r="AS60">
            <v>0</v>
          </cell>
          <cell r="AT60">
            <v>-8474.2800000000007</v>
          </cell>
          <cell r="AU60">
            <v>-29407.63</v>
          </cell>
          <cell r="AV60">
            <v>-16713.3</v>
          </cell>
          <cell r="AW60">
            <v>-2812.38</v>
          </cell>
          <cell r="AX60">
            <v>-58351.7</v>
          </cell>
          <cell r="AY60">
            <v>-31247.1</v>
          </cell>
          <cell r="AZ60">
            <v>-51036.959999999999</v>
          </cell>
          <cell r="BA60">
            <v>-9769.34</v>
          </cell>
          <cell r="BB60">
            <v>-56.11</v>
          </cell>
          <cell r="BC60">
            <v>-2551.98</v>
          </cell>
          <cell r="BD60">
            <v>-16136.51</v>
          </cell>
          <cell r="BE60">
            <v>-219.45</v>
          </cell>
          <cell r="BF60">
            <v>-104.55</v>
          </cell>
          <cell r="BG60">
            <v>-296.31</v>
          </cell>
          <cell r="BH60">
            <v>0</v>
          </cell>
          <cell r="BI60">
            <v>-599.42999999999995</v>
          </cell>
          <cell r="BJ60">
            <v>-2986.47</v>
          </cell>
          <cell r="BK60">
            <v>-104716.09</v>
          </cell>
          <cell r="BL60">
            <v>-5238.54</v>
          </cell>
          <cell r="BM60">
            <v>-9905.57</v>
          </cell>
          <cell r="BN60">
            <v>0</v>
          </cell>
          <cell r="BO60">
            <v>-7243.21</v>
          </cell>
          <cell r="BP60">
            <v>0</v>
          </cell>
          <cell r="BQ60">
            <v>0</v>
          </cell>
          <cell r="BR60">
            <v>-2630.6</v>
          </cell>
          <cell r="BS60">
            <v>0</v>
          </cell>
          <cell r="BT60">
            <v>0</v>
          </cell>
          <cell r="BU60">
            <v>0</v>
          </cell>
          <cell r="BV60">
            <v>0</v>
          </cell>
          <cell r="BW60">
            <v>-15055.62</v>
          </cell>
          <cell r="BX60">
            <v>0</v>
          </cell>
          <cell r="BY60">
            <v>0</v>
          </cell>
          <cell r="BZ60">
            <v>0</v>
          </cell>
          <cell r="CA60">
            <v>0</v>
          </cell>
          <cell r="CB60">
            <v>0</v>
          </cell>
          <cell r="CC60">
            <v>-0.02</v>
          </cell>
          <cell r="CD60">
            <v>0</v>
          </cell>
          <cell r="CE60">
            <v>0</v>
          </cell>
          <cell r="CF60">
            <v>0</v>
          </cell>
          <cell r="CG60">
            <v>0</v>
          </cell>
          <cell r="CH60">
            <v>-18808</v>
          </cell>
          <cell r="CI60">
            <v>0</v>
          </cell>
          <cell r="CJ60">
            <v>-19220.259999999998</v>
          </cell>
          <cell r="CK60">
            <v>0</v>
          </cell>
          <cell r="CL60">
            <v>0</v>
          </cell>
          <cell r="CM60">
            <v>0</v>
          </cell>
          <cell r="CN60">
            <v>-2174.3200000000002</v>
          </cell>
          <cell r="CO60">
            <v>0</v>
          </cell>
          <cell r="CP60">
            <v>-1194.78</v>
          </cell>
          <cell r="CQ60">
            <v>1194.78</v>
          </cell>
          <cell r="CR60">
            <v>-13395.81</v>
          </cell>
          <cell r="CS60">
            <v>-43093.33</v>
          </cell>
          <cell r="CT60">
            <v>-3888.07</v>
          </cell>
          <cell r="CU60">
            <v>-33660.43</v>
          </cell>
          <cell r="CV60">
            <v>0.33</v>
          </cell>
          <cell r="CW60">
            <v>-158226.07</v>
          </cell>
          <cell r="CX60">
            <v>0</v>
          </cell>
          <cell r="CY60">
            <v>0</v>
          </cell>
          <cell r="CZ60">
            <v>-176597.62</v>
          </cell>
          <cell r="DA60">
            <v>0</v>
          </cell>
          <cell r="DB60">
            <v>0</v>
          </cell>
          <cell r="DC60">
            <v>-50387.73</v>
          </cell>
          <cell r="DD60">
            <v>0</v>
          </cell>
          <cell r="DE60">
            <v>-295158.42</v>
          </cell>
          <cell r="DF60">
            <v>0</v>
          </cell>
          <cell r="DG60">
            <v>0</v>
          </cell>
          <cell r="DH60">
            <v>-680369.51</v>
          </cell>
        </row>
        <row r="61">
          <cell r="A61" t="str">
            <v>4810070</v>
          </cell>
          <cell r="B61" t="str">
            <v>4810070</v>
          </cell>
          <cell r="C61" t="str">
            <v>Intrpt Lg Vol 1</v>
          </cell>
          <cell r="D61">
            <v>0</v>
          </cell>
          <cell r="E61">
            <v>0</v>
          </cell>
          <cell r="F61">
            <v>-179.43</v>
          </cell>
          <cell r="G61">
            <v>-872.06</v>
          </cell>
          <cell r="H61">
            <v>-2714.57</v>
          </cell>
          <cell r="I61">
            <v>0</v>
          </cell>
          <cell r="J61">
            <v>-386.85</v>
          </cell>
          <cell r="K61">
            <v>-2495.41</v>
          </cell>
          <cell r="L61">
            <v>0</v>
          </cell>
          <cell r="M61">
            <v>-3764.32</v>
          </cell>
          <cell r="N61">
            <v>-250.39</v>
          </cell>
          <cell r="O61">
            <v>-8166.58</v>
          </cell>
          <cell r="P61">
            <v>0</v>
          </cell>
          <cell r="Q61">
            <v>0</v>
          </cell>
          <cell r="R61">
            <v>-5046.88</v>
          </cell>
          <cell r="S61">
            <v>5046.88</v>
          </cell>
          <cell r="T61">
            <v>0</v>
          </cell>
          <cell r="U61">
            <v>-3066.06</v>
          </cell>
          <cell r="V61">
            <v>-119.83</v>
          </cell>
          <cell r="W61">
            <v>0</v>
          </cell>
          <cell r="X61">
            <v>0</v>
          </cell>
          <cell r="Y61">
            <v>-2689.08</v>
          </cell>
          <cell r="Z61">
            <v>0</v>
          </cell>
          <cell r="AA61">
            <v>-1135.8599999999999</v>
          </cell>
          <cell r="AB61">
            <v>-51</v>
          </cell>
          <cell r="AC61">
            <v>0</v>
          </cell>
          <cell r="AD61">
            <v>-77.040000000000006</v>
          </cell>
          <cell r="AE61">
            <v>-1484.3</v>
          </cell>
          <cell r="AF61">
            <v>-347.14</v>
          </cell>
          <cell r="AG61">
            <v>-6376.31</v>
          </cell>
          <cell r="AH61">
            <v>-673.67</v>
          </cell>
          <cell r="AI61">
            <v>-5438.06</v>
          </cell>
          <cell r="AJ61">
            <v>0</v>
          </cell>
          <cell r="AK61">
            <v>-3677.17</v>
          </cell>
          <cell r="AL61">
            <v>-990.64</v>
          </cell>
          <cell r="AM61">
            <v>-8120.17</v>
          </cell>
          <cell r="AN61">
            <v>0</v>
          </cell>
          <cell r="AO61">
            <v>-7444.03</v>
          </cell>
          <cell r="AP61">
            <v>-331.12</v>
          </cell>
          <cell r="AQ61">
            <v>-4711.2700000000004</v>
          </cell>
          <cell r="AR61">
            <v>-649.04</v>
          </cell>
          <cell r="AS61">
            <v>-1031.83</v>
          </cell>
          <cell r="AT61">
            <v>-1709.06</v>
          </cell>
          <cell r="AU61">
            <v>-227.63</v>
          </cell>
          <cell r="AV61">
            <v>-1098.0999999999999</v>
          </cell>
          <cell r="AW61">
            <v>4154.5200000000004</v>
          </cell>
          <cell r="AX61">
            <v>-2056.19</v>
          </cell>
          <cell r="AY61">
            <v>-7217.55</v>
          </cell>
          <cell r="AZ61">
            <v>-11655.37</v>
          </cell>
          <cell r="BA61">
            <v>-1677.72</v>
          </cell>
          <cell r="BB61">
            <v>-537.29999999999995</v>
          </cell>
          <cell r="BC61">
            <v>-4793.24</v>
          </cell>
          <cell r="BD61">
            <v>-5931.54</v>
          </cell>
          <cell r="BE61">
            <v>0</v>
          </cell>
          <cell r="BF61">
            <v>0</v>
          </cell>
          <cell r="BG61">
            <v>-1482.3</v>
          </cell>
          <cell r="BH61">
            <v>-3464.92</v>
          </cell>
          <cell r="BI61">
            <v>-4844.83</v>
          </cell>
          <cell r="BJ61">
            <v>-11042.32</v>
          </cell>
          <cell r="BK61">
            <v>-580.37</v>
          </cell>
          <cell r="BL61">
            <v>-2700.66</v>
          </cell>
          <cell r="BM61">
            <v>0</v>
          </cell>
          <cell r="BN61">
            <v>-246.66</v>
          </cell>
          <cell r="BO61">
            <v>449.67</v>
          </cell>
          <cell r="BP61">
            <v>-846.91</v>
          </cell>
          <cell r="BQ61">
            <v>-1087.94</v>
          </cell>
          <cell r="BR61">
            <v>0</v>
          </cell>
          <cell r="BS61">
            <v>-228.35</v>
          </cell>
          <cell r="BT61">
            <v>0</v>
          </cell>
          <cell r="BU61">
            <v>0</v>
          </cell>
          <cell r="BV61">
            <v>-443.01</v>
          </cell>
          <cell r="BW61">
            <v>-1942.57</v>
          </cell>
          <cell r="BX61">
            <v>-0.2</v>
          </cell>
          <cell r="BY61">
            <v>-7088.86</v>
          </cell>
          <cell r="BZ61">
            <v>-12632.28</v>
          </cell>
          <cell r="CA61">
            <v>0</v>
          </cell>
          <cell r="CB61">
            <v>0</v>
          </cell>
          <cell r="CC61">
            <v>0</v>
          </cell>
          <cell r="CD61">
            <v>-2003.92</v>
          </cell>
          <cell r="CE61">
            <v>0</v>
          </cell>
          <cell r="CF61">
            <v>-870.92</v>
          </cell>
          <cell r="CG61">
            <v>-764.29</v>
          </cell>
          <cell r="CH61">
            <v>-305</v>
          </cell>
          <cell r="CI61">
            <v>-21.72</v>
          </cell>
          <cell r="CJ61">
            <v>-13469.96</v>
          </cell>
          <cell r="CK61">
            <v>-4555.75</v>
          </cell>
          <cell r="CL61">
            <v>-0.13</v>
          </cell>
          <cell r="CM61">
            <v>0</v>
          </cell>
          <cell r="CN61">
            <v>-1054.5</v>
          </cell>
          <cell r="CO61">
            <v>-1477.51</v>
          </cell>
          <cell r="CP61">
            <v>-1763.71</v>
          </cell>
          <cell r="CQ61">
            <v>-234.36</v>
          </cell>
          <cell r="CR61">
            <v>-7253.03</v>
          </cell>
          <cell r="CS61">
            <v>-5210.3100000000004</v>
          </cell>
          <cell r="CT61">
            <v>-8568.68</v>
          </cell>
          <cell r="CU61">
            <v>-3011.88</v>
          </cell>
          <cell r="CV61">
            <v>-2084.42</v>
          </cell>
          <cell r="CW61">
            <v>-4483.2700000000004</v>
          </cell>
          <cell r="CX61">
            <v>-5855.55</v>
          </cell>
          <cell r="CY61">
            <v>0</v>
          </cell>
          <cell r="CZ61">
            <v>-2827.68</v>
          </cell>
          <cell r="DA61">
            <v>0</v>
          </cell>
          <cell r="DB61">
            <v>-6130.88</v>
          </cell>
          <cell r="DC61">
            <v>-198.17</v>
          </cell>
          <cell r="DD61">
            <v>-208.26</v>
          </cell>
          <cell r="DE61">
            <v>0</v>
          </cell>
          <cell r="DF61">
            <v>-1310.3499999999999</v>
          </cell>
          <cell r="DG61">
            <v>-4680.62</v>
          </cell>
          <cell r="DH61">
            <v>-27779.199999999997</v>
          </cell>
        </row>
        <row r="62">
          <cell r="A62" t="str">
            <v>4810071</v>
          </cell>
          <cell r="B62" t="str">
            <v>4810071</v>
          </cell>
          <cell r="C62" t="str">
            <v>Intrpt Lg Vol 1 Fuel</v>
          </cell>
          <cell r="D62">
            <v>0</v>
          </cell>
          <cell r="E62">
            <v>0</v>
          </cell>
          <cell r="F62">
            <v>-3471.48</v>
          </cell>
          <cell r="G62">
            <v>-13965.47</v>
          </cell>
          <cell r="H62">
            <v>-41269.629999999997</v>
          </cell>
          <cell r="I62">
            <v>6088.25</v>
          </cell>
          <cell r="J62">
            <v>-5931.58</v>
          </cell>
          <cell r="K62">
            <v>-34382.25</v>
          </cell>
          <cell r="L62">
            <v>-17285.27</v>
          </cell>
          <cell r="M62">
            <v>-33965.72</v>
          </cell>
          <cell r="N62">
            <v>-3245.42</v>
          </cell>
          <cell r="O62">
            <v>-113221.29</v>
          </cell>
          <cell r="P62">
            <v>0</v>
          </cell>
          <cell r="Q62">
            <v>0</v>
          </cell>
          <cell r="R62">
            <v>0</v>
          </cell>
          <cell r="S62">
            <v>0</v>
          </cell>
          <cell r="T62">
            <v>0</v>
          </cell>
          <cell r="U62">
            <v>-32618.71</v>
          </cell>
          <cell r="V62">
            <v>-1227.99</v>
          </cell>
          <cell r="W62">
            <v>0</v>
          </cell>
          <cell r="X62">
            <v>0</v>
          </cell>
          <cell r="Y62">
            <v>-26131.65</v>
          </cell>
          <cell r="Z62">
            <v>0</v>
          </cell>
          <cell r="AA62">
            <v>-8931.91</v>
          </cell>
          <cell r="AB62">
            <v>-432.91</v>
          </cell>
          <cell r="AC62">
            <v>0</v>
          </cell>
          <cell r="AD62">
            <v>-604.49</v>
          </cell>
          <cell r="AE62">
            <v>-10316.719999999999</v>
          </cell>
          <cell r="AF62">
            <v>-2523.91</v>
          </cell>
          <cell r="AG62">
            <v>0</v>
          </cell>
          <cell r="AH62">
            <v>-2437.6</v>
          </cell>
          <cell r="AI62">
            <v>-61228.78</v>
          </cell>
          <cell r="AJ62">
            <v>0</v>
          </cell>
          <cell r="AK62">
            <v>-42694.79</v>
          </cell>
          <cell r="AL62">
            <v>0</v>
          </cell>
          <cell r="AM62">
            <v>-69406.19</v>
          </cell>
          <cell r="AN62">
            <v>0</v>
          </cell>
          <cell r="AO62">
            <v>-7143.27</v>
          </cell>
          <cell r="AP62">
            <v>-4007.77</v>
          </cell>
          <cell r="AQ62">
            <v>-63835.86</v>
          </cell>
          <cell r="AR62">
            <v>-8472.49</v>
          </cell>
          <cell r="AS62">
            <v>-13723.54</v>
          </cell>
          <cell r="AT62">
            <v>-22484.560000000001</v>
          </cell>
          <cell r="AU62">
            <v>-2932.82</v>
          </cell>
          <cell r="AV62">
            <v>-13813.57</v>
          </cell>
          <cell r="AW62">
            <v>-38440.230000000003</v>
          </cell>
          <cell r="AX62">
            <v>-27104.69</v>
          </cell>
          <cell r="AY62">
            <v>-97993.63</v>
          </cell>
          <cell r="AZ62">
            <v>-151996.53</v>
          </cell>
          <cell r="BA62">
            <v>-27649.24</v>
          </cell>
          <cell r="BB62">
            <v>-7783.33</v>
          </cell>
          <cell r="BC62">
            <v>-64969.62</v>
          </cell>
          <cell r="BD62">
            <v>-77277.960000000006</v>
          </cell>
          <cell r="BE62">
            <v>0</v>
          </cell>
          <cell r="BF62">
            <v>0</v>
          </cell>
          <cell r="BG62">
            <v>-19658.169999999998</v>
          </cell>
          <cell r="BH62">
            <v>-46377.01</v>
          </cell>
          <cell r="BI62">
            <v>-64469.05</v>
          </cell>
          <cell r="BJ62">
            <v>-166704.07999999999</v>
          </cell>
          <cell r="BK62">
            <v>-9536.83</v>
          </cell>
          <cell r="BL62">
            <v>-47954.46</v>
          </cell>
          <cell r="BM62">
            <v>0</v>
          </cell>
          <cell r="BN62">
            <v>-3081.29</v>
          </cell>
          <cell r="BO62">
            <v>-6065.5</v>
          </cell>
          <cell r="BP62">
            <v>-23838.42</v>
          </cell>
          <cell r="BQ62">
            <v>10425.370000000001</v>
          </cell>
          <cell r="BR62">
            <v>0</v>
          </cell>
          <cell r="BS62">
            <v>-1819.32</v>
          </cell>
          <cell r="BT62">
            <v>-803.29</v>
          </cell>
          <cell r="BU62">
            <v>0</v>
          </cell>
          <cell r="BV62">
            <v>-5133.91</v>
          </cell>
          <cell r="BW62">
            <v>-24327.55</v>
          </cell>
          <cell r="BX62">
            <v>0</v>
          </cell>
          <cell r="BY62">
            <v>-79051.039999999994</v>
          </cell>
          <cell r="BZ62">
            <v>-136633.73000000001</v>
          </cell>
          <cell r="CA62">
            <v>0</v>
          </cell>
          <cell r="CB62">
            <v>0</v>
          </cell>
          <cell r="CC62">
            <v>0</v>
          </cell>
          <cell r="CD62">
            <v>-18273.189999999999</v>
          </cell>
          <cell r="CE62">
            <v>0</v>
          </cell>
          <cell r="CF62">
            <v>-9709.17</v>
          </cell>
          <cell r="CG62">
            <v>-8520.4699999999993</v>
          </cell>
          <cell r="CH62">
            <v>-3316.11</v>
          </cell>
          <cell r="CI62">
            <v>-236.16</v>
          </cell>
          <cell r="CJ62">
            <v>-204143.41</v>
          </cell>
          <cell r="CK62">
            <v>-44954.52</v>
          </cell>
          <cell r="CL62">
            <v>-4.2699999999999996</v>
          </cell>
          <cell r="CM62">
            <v>0</v>
          </cell>
          <cell r="CN62">
            <v>-9875.9</v>
          </cell>
          <cell r="CO62">
            <v>-13793.61</v>
          </cell>
          <cell r="CP62">
            <v>-18697.57</v>
          </cell>
          <cell r="CQ62">
            <v>-2862.56</v>
          </cell>
          <cell r="CR62">
            <v>-98615.84</v>
          </cell>
          <cell r="CS62">
            <v>-75999.81</v>
          </cell>
          <cell r="CT62">
            <v>-149584.63</v>
          </cell>
          <cell r="CU62">
            <v>-45090.05</v>
          </cell>
          <cell r="CV62">
            <v>-26125.07</v>
          </cell>
          <cell r="CW62">
            <v>-66236.47</v>
          </cell>
          <cell r="CX62">
            <v>-95623.9</v>
          </cell>
          <cell r="CY62">
            <v>0</v>
          </cell>
          <cell r="CZ62">
            <v>-56213.25</v>
          </cell>
          <cell r="DA62">
            <v>41.68</v>
          </cell>
          <cell r="DB62">
            <v>-157792.01</v>
          </cell>
          <cell r="DC62">
            <v>-6172.41</v>
          </cell>
          <cell r="DD62">
            <v>-5507.2</v>
          </cell>
          <cell r="DE62">
            <v>0</v>
          </cell>
          <cell r="DF62">
            <v>-22139.82</v>
          </cell>
          <cell r="DG62">
            <v>-146425.10999999999</v>
          </cell>
          <cell r="DH62">
            <v>-582193.56000000006</v>
          </cell>
        </row>
        <row r="63">
          <cell r="A63" t="str">
            <v>4810080</v>
          </cell>
          <cell r="B63" t="str">
            <v>4810080</v>
          </cell>
          <cell r="C63" t="str">
            <v>Intrpt Lg Vol 2</v>
          </cell>
          <cell r="D63">
            <v>-895.72</v>
          </cell>
          <cell r="E63">
            <v>0</v>
          </cell>
          <cell r="F63">
            <v>-304.75</v>
          </cell>
          <cell r="G63">
            <v>0</v>
          </cell>
          <cell r="H63">
            <v>-1088.24</v>
          </cell>
          <cell r="I63">
            <v>0</v>
          </cell>
          <cell r="J63">
            <v>-585.04999999999995</v>
          </cell>
          <cell r="K63">
            <v>0</v>
          </cell>
          <cell r="L63">
            <v>0</v>
          </cell>
          <cell r="M63">
            <v>-57.19</v>
          </cell>
          <cell r="N63">
            <v>0</v>
          </cell>
          <cell r="O63">
            <v>0</v>
          </cell>
          <cell r="P63">
            <v>0</v>
          </cell>
          <cell r="Q63">
            <v>0</v>
          </cell>
          <cell r="R63">
            <v>-175.93</v>
          </cell>
          <cell r="S63">
            <v>-1168.42</v>
          </cell>
          <cell r="T63">
            <v>0</v>
          </cell>
          <cell r="U63">
            <v>0</v>
          </cell>
          <cell r="V63">
            <v>-2357.4699999999998</v>
          </cell>
          <cell r="W63">
            <v>0</v>
          </cell>
          <cell r="X63">
            <v>-232.82</v>
          </cell>
          <cell r="Y63">
            <v>-1063.1300000000001</v>
          </cell>
          <cell r="Z63">
            <v>0</v>
          </cell>
          <cell r="AA63">
            <v>-392.44</v>
          </cell>
          <cell r="AB63">
            <v>-538.05999999999995</v>
          </cell>
          <cell r="AC63">
            <v>-2660.61</v>
          </cell>
          <cell r="AD63">
            <v>-1511.43</v>
          </cell>
          <cell r="AE63">
            <v>-18.23</v>
          </cell>
          <cell r="AF63">
            <v>0</v>
          </cell>
          <cell r="AG63">
            <v>0</v>
          </cell>
          <cell r="AH63">
            <v>0</v>
          </cell>
          <cell r="AI63">
            <v>0</v>
          </cell>
          <cell r="AJ63">
            <v>0</v>
          </cell>
          <cell r="AK63">
            <v>-49.45</v>
          </cell>
          <cell r="AL63">
            <v>0</v>
          </cell>
          <cell r="AM63">
            <v>0</v>
          </cell>
          <cell r="AN63">
            <v>-138.05000000000001</v>
          </cell>
          <cell r="AO63">
            <v>0</v>
          </cell>
          <cell r="AP63">
            <v>0</v>
          </cell>
          <cell r="AQ63">
            <v>0</v>
          </cell>
          <cell r="AR63">
            <v>0</v>
          </cell>
          <cell r="AS63">
            <v>0</v>
          </cell>
          <cell r="AT63">
            <v>0</v>
          </cell>
          <cell r="AU63">
            <v>-2387.61</v>
          </cell>
          <cell r="AV63">
            <v>-890.39</v>
          </cell>
          <cell r="AW63">
            <v>2387.61</v>
          </cell>
          <cell r="AX63">
            <v>-1980.84</v>
          </cell>
          <cell r="AY63">
            <v>1980.84</v>
          </cell>
          <cell r="AZ63">
            <v>0</v>
          </cell>
          <cell r="BA63">
            <v>-120.91</v>
          </cell>
          <cell r="BB63">
            <v>0</v>
          </cell>
          <cell r="BC63">
            <v>0</v>
          </cell>
          <cell r="BD63">
            <v>0</v>
          </cell>
          <cell r="BE63">
            <v>0</v>
          </cell>
          <cell r="BF63">
            <v>0</v>
          </cell>
          <cell r="BG63">
            <v>0</v>
          </cell>
          <cell r="BH63">
            <v>0</v>
          </cell>
          <cell r="BI63">
            <v>0</v>
          </cell>
          <cell r="BJ63">
            <v>-465.16</v>
          </cell>
          <cell r="BK63">
            <v>-216.06</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row>
        <row r="64">
          <cell r="A64" t="str">
            <v>4810081</v>
          </cell>
          <cell r="B64" t="str">
            <v>4810081</v>
          </cell>
          <cell r="C64" t="str">
            <v>Intrpt Lg Vol 2 Fuel</v>
          </cell>
          <cell r="D64">
            <v>10022.32</v>
          </cell>
          <cell r="E64">
            <v>55000</v>
          </cell>
          <cell r="F64">
            <v>34407.19</v>
          </cell>
          <cell r="G64">
            <v>55000</v>
          </cell>
          <cell r="H64">
            <v>-2785.72</v>
          </cell>
          <cell r="I64">
            <v>55000</v>
          </cell>
          <cell r="J64">
            <v>23668.45</v>
          </cell>
          <cell r="K64">
            <v>55000</v>
          </cell>
          <cell r="L64">
            <v>55000</v>
          </cell>
          <cell r="M64">
            <v>52378.55</v>
          </cell>
          <cell r="N64">
            <v>55000</v>
          </cell>
          <cell r="O64">
            <v>55000</v>
          </cell>
          <cell r="P64">
            <v>55000</v>
          </cell>
          <cell r="Q64">
            <v>55000</v>
          </cell>
          <cell r="R64">
            <v>48416.23</v>
          </cell>
          <cell r="S64">
            <v>14477.73</v>
          </cell>
          <cell r="T64">
            <v>55000</v>
          </cell>
          <cell r="U64">
            <v>55000</v>
          </cell>
          <cell r="V64">
            <v>-36415.94</v>
          </cell>
          <cell r="W64">
            <v>55000</v>
          </cell>
          <cell r="X64">
            <v>46608.4</v>
          </cell>
          <cell r="Y64">
            <v>18915.669999999998</v>
          </cell>
          <cell r="Z64">
            <v>55000</v>
          </cell>
          <cell r="AA64">
            <v>44221.43</v>
          </cell>
          <cell r="AB64">
            <v>39047.69</v>
          </cell>
          <cell r="AC64">
            <v>-30037.759999999998</v>
          </cell>
          <cell r="AD64">
            <v>13576.61</v>
          </cell>
          <cell r="AE64">
            <v>54557.46</v>
          </cell>
          <cell r="AF64">
            <v>55000</v>
          </cell>
          <cell r="AG64">
            <v>55000</v>
          </cell>
          <cell r="AH64">
            <v>55000</v>
          </cell>
          <cell r="AI64">
            <v>55000</v>
          </cell>
          <cell r="AJ64">
            <v>55000</v>
          </cell>
          <cell r="AK64">
            <v>53147.75</v>
          </cell>
          <cell r="AL64">
            <v>55000</v>
          </cell>
          <cell r="AM64">
            <v>55000</v>
          </cell>
          <cell r="AN64">
            <v>3085.86</v>
          </cell>
          <cell r="AO64">
            <v>16914.14</v>
          </cell>
          <cell r="AP64">
            <v>10000</v>
          </cell>
          <cell r="AQ64">
            <v>10000</v>
          </cell>
          <cell r="AR64">
            <v>10000</v>
          </cell>
          <cell r="AS64">
            <v>10000</v>
          </cell>
          <cell r="AT64">
            <v>10000</v>
          </cell>
          <cell r="AU64">
            <v>10000</v>
          </cell>
          <cell r="AV64">
            <v>10000</v>
          </cell>
          <cell r="AW64">
            <v>10000</v>
          </cell>
          <cell r="AX64">
            <v>10000</v>
          </cell>
          <cell r="AY64">
            <v>10000</v>
          </cell>
          <cell r="AZ64">
            <v>10000</v>
          </cell>
          <cell r="BA64">
            <v>1946.82</v>
          </cell>
          <cell r="BB64">
            <v>10000</v>
          </cell>
          <cell r="BC64">
            <v>10000</v>
          </cell>
          <cell r="BD64">
            <v>10000</v>
          </cell>
          <cell r="BE64">
            <v>10000</v>
          </cell>
          <cell r="BF64">
            <v>10000</v>
          </cell>
          <cell r="BG64">
            <v>10000</v>
          </cell>
          <cell r="BH64">
            <v>10000</v>
          </cell>
          <cell r="BI64">
            <v>10000</v>
          </cell>
          <cell r="BJ64">
            <v>-12446.53</v>
          </cell>
          <cell r="BK64">
            <v>-2443.84</v>
          </cell>
          <cell r="BL64">
            <v>10000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row>
        <row r="65">
          <cell r="A65" t="str">
            <v>4810090</v>
          </cell>
          <cell r="B65" t="str">
            <v>4810090</v>
          </cell>
          <cell r="C65" t="str">
            <v>Interruptible Contract Service</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-1519.7</v>
          </cell>
          <cell r="AX65">
            <v>0</v>
          </cell>
          <cell r="AY65">
            <v>-2824.45</v>
          </cell>
          <cell r="AZ65">
            <v>0</v>
          </cell>
          <cell r="BA65">
            <v>0</v>
          </cell>
          <cell r="BB65">
            <v>0</v>
          </cell>
          <cell r="BC65">
            <v>0</v>
          </cell>
          <cell r="BD65">
            <v>0</v>
          </cell>
          <cell r="BE65">
            <v>0</v>
          </cell>
          <cell r="BF65">
            <v>-574.19000000000005</v>
          </cell>
          <cell r="BG65">
            <v>0</v>
          </cell>
          <cell r="BH65">
            <v>0</v>
          </cell>
          <cell r="BI65">
            <v>-242.03</v>
          </cell>
          <cell r="BJ65">
            <v>0</v>
          </cell>
          <cell r="BK65">
            <v>-6257.7</v>
          </cell>
          <cell r="BL65">
            <v>-2118.4899999999998</v>
          </cell>
          <cell r="BM65">
            <v>-93.82</v>
          </cell>
          <cell r="BN65">
            <v>-3854.33</v>
          </cell>
          <cell r="BO65">
            <v>-2634.32</v>
          </cell>
          <cell r="BP65">
            <v>0</v>
          </cell>
          <cell r="BQ65">
            <v>-386.95</v>
          </cell>
          <cell r="BR65">
            <v>-1.94</v>
          </cell>
          <cell r="BS65">
            <v>-42464.1</v>
          </cell>
          <cell r="BT65">
            <v>-8818.6299999999992</v>
          </cell>
          <cell r="BU65">
            <v>23801.759999999998</v>
          </cell>
          <cell r="BV65">
            <v>-2346.81</v>
          </cell>
          <cell r="BW65">
            <v>-1049.69</v>
          </cell>
          <cell r="BX65">
            <v>-381.94</v>
          </cell>
          <cell r="BY65">
            <v>-19000.39</v>
          </cell>
          <cell r="BZ65">
            <v>-895.75</v>
          </cell>
          <cell r="CA65">
            <v>0</v>
          </cell>
          <cell r="CB65">
            <v>-112.97</v>
          </cell>
          <cell r="CC65">
            <v>-84.55</v>
          </cell>
          <cell r="CD65">
            <v>-27299.07</v>
          </cell>
          <cell r="CE65">
            <v>-1416.84</v>
          </cell>
          <cell r="CF65">
            <v>-2438.7800000000002</v>
          </cell>
          <cell r="CG65">
            <v>-748.78</v>
          </cell>
          <cell r="CH65">
            <v>-197.7</v>
          </cell>
          <cell r="CI65">
            <v>-1987.7</v>
          </cell>
          <cell r="CJ65">
            <v>-13695.05</v>
          </cell>
          <cell r="CK65">
            <v>0</v>
          </cell>
          <cell r="CL65">
            <v>0</v>
          </cell>
          <cell r="CM65">
            <v>0</v>
          </cell>
          <cell r="CN65">
            <v>0</v>
          </cell>
          <cell r="CO65">
            <v>-486.59</v>
          </cell>
          <cell r="CP65">
            <v>0</v>
          </cell>
          <cell r="CQ65">
            <v>0</v>
          </cell>
          <cell r="CR65">
            <v>0</v>
          </cell>
          <cell r="CS65">
            <v>-1448.13</v>
          </cell>
          <cell r="CT65">
            <v>-907.54</v>
          </cell>
          <cell r="CU65">
            <v>-230.08</v>
          </cell>
          <cell r="CV65">
            <v>0.11</v>
          </cell>
          <cell r="CW65">
            <v>-320.47000000000003</v>
          </cell>
          <cell r="CX65">
            <v>-2209.8200000000002</v>
          </cell>
          <cell r="CY65">
            <v>0</v>
          </cell>
          <cell r="CZ65">
            <v>-147.27000000000001</v>
          </cell>
          <cell r="DA65">
            <v>0</v>
          </cell>
          <cell r="DB65">
            <v>-312.41000000000003</v>
          </cell>
          <cell r="DC65">
            <v>0</v>
          </cell>
          <cell r="DD65">
            <v>-89.37</v>
          </cell>
          <cell r="DE65">
            <v>0</v>
          </cell>
          <cell r="DF65">
            <v>-2585.63</v>
          </cell>
          <cell r="DG65">
            <v>0</v>
          </cell>
          <cell r="DH65">
            <v>-5664.8600000000006</v>
          </cell>
        </row>
        <row r="66">
          <cell r="A66" t="str">
            <v>4810091</v>
          </cell>
          <cell r="B66" t="str">
            <v>4810091</v>
          </cell>
          <cell r="C66" t="str">
            <v>Intrpt Con Svc Fuel</v>
          </cell>
          <cell r="AN66">
            <v>53786.91</v>
          </cell>
          <cell r="AO66">
            <v>103333.35</v>
          </cell>
          <cell r="AP66">
            <v>103333.34</v>
          </cell>
          <cell r="AQ66">
            <v>100313.86</v>
          </cell>
          <cell r="AR66">
            <v>103333.34</v>
          </cell>
          <cell r="AS66">
            <v>103333.34</v>
          </cell>
          <cell r="AT66">
            <v>103333.34</v>
          </cell>
          <cell r="AU66">
            <v>-12228.4</v>
          </cell>
          <cell r="AV66">
            <v>64212.04</v>
          </cell>
          <cell r="AW66">
            <v>144999.64000000001</v>
          </cell>
          <cell r="AX66">
            <v>17849.91</v>
          </cell>
          <cell r="AY66">
            <v>65703.19</v>
          </cell>
          <cell r="AZ66">
            <v>103333.34</v>
          </cell>
          <cell r="BA66">
            <v>103333.34</v>
          </cell>
          <cell r="BB66">
            <v>103333.34</v>
          </cell>
          <cell r="BC66">
            <v>103333.34</v>
          </cell>
          <cell r="BD66">
            <v>103333.34</v>
          </cell>
          <cell r="BE66">
            <v>103333.34</v>
          </cell>
          <cell r="BF66">
            <v>77679.740000000005</v>
          </cell>
          <cell r="BG66">
            <v>103333.34</v>
          </cell>
          <cell r="BH66">
            <v>103333.34</v>
          </cell>
          <cell r="BI66">
            <v>92305.15</v>
          </cell>
          <cell r="BJ66">
            <v>103333.34</v>
          </cell>
          <cell r="BK66">
            <v>-311751.57</v>
          </cell>
          <cell r="BL66">
            <v>-20389.11</v>
          </cell>
          <cell r="BM66">
            <v>98513.919999999998</v>
          </cell>
          <cell r="BN66">
            <v>-66166.62</v>
          </cell>
          <cell r="BO66">
            <v>-19761.810000000001</v>
          </cell>
          <cell r="BP66">
            <v>123333.34</v>
          </cell>
          <cell r="BQ66">
            <v>110997.65</v>
          </cell>
          <cell r="BR66">
            <v>113328.1</v>
          </cell>
          <cell r="BS66">
            <v>-155716.6</v>
          </cell>
          <cell r="BT66">
            <v>76535.67</v>
          </cell>
          <cell r="BU66">
            <v>340717.09</v>
          </cell>
          <cell r="BV66">
            <v>100018.02</v>
          </cell>
          <cell r="BW66">
            <v>106924.86</v>
          </cell>
          <cell r="BX66">
            <v>111230.37</v>
          </cell>
          <cell r="BY66">
            <v>77622.679999999993</v>
          </cell>
          <cell r="BZ66">
            <v>65429.33</v>
          </cell>
          <cell r="CA66">
            <v>148704.6</v>
          </cell>
          <cell r="CB66">
            <v>109736.15</v>
          </cell>
          <cell r="CC66">
            <v>110533.32</v>
          </cell>
          <cell r="CD66">
            <v>68130.78</v>
          </cell>
          <cell r="CE66">
            <v>106123.87</v>
          </cell>
          <cell r="CF66">
            <v>87320.02</v>
          </cell>
          <cell r="CG66">
            <v>84072.61</v>
          </cell>
          <cell r="CH66">
            <v>112818.27</v>
          </cell>
          <cell r="CI66">
            <v>109016.23</v>
          </cell>
          <cell r="CJ66">
            <v>104008.58</v>
          </cell>
          <cell r="CK66">
            <v>87538.559999999998</v>
          </cell>
          <cell r="CL66">
            <v>106292.24</v>
          </cell>
          <cell r="CM66">
            <v>103333.34</v>
          </cell>
          <cell r="CN66">
            <v>103333.34</v>
          </cell>
          <cell r="CO66">
            <v>101560.72</v>
          </cell>
          <cell r="CP66">
            <v>97219.85</v>
          </cell>
          <cell r="CQ66">
            <v>103333.34</v>
          </cell>
          <cell r="CR66">
            <v>103333.34</v>
          </cell>
          <cell r="CS66">
            <v>11371.54</v>
          </cell>
          <cell r="CT66">
            <v>11893.84</v>
          </cell>
          <cell r="CU66">
            <v>90687.72</v>
          </cell>
          <cell r="CV66">
            <v>102400.42</v>
          </cell>
          <cell r="CW66">
            <v>85805.15</v>
          </cell>
          <cell r="CX66">
            <v>86540.479999999996</v>
          </cell>
          <cell r="CY66">
            <v>22262.61</v>
          </cell>
          <cell r="CZ66">
            <v>89537.65</v>
          </cell>
          <cell r="DA66">
            <v>103344.11</v>
          </cell>
          <cell r="DB66">
            <v>74438.63</v>
          </cell>
          <cell r="DC66">
            <v>73587.02</v>
          </cell>
          <cell r="DD66">
            <v>94218.04</v>
          </cell>
          <cell r="DE66">
            <v>-84685.38</v>
          </cell>
          <cell r="DF66">
            <v>-65174.42</v>
          </cell>
          <cell r="DG66">
            <v>103333.34</v>
          </cell>
          <cell r="DH66">
            <v>685607.64999999991</v>
          </cell>
        </row>
        <row r="67">
          <cell r="A67" t="str">
            <v>4810500</v>
          </cell>
          <cell r="B67" t="str">
            <v>4810500</v>
          </cell>
          <cell r="C67" t="str">
            <v>Mut Ben NonRP Reslr</v>
          </cell>
          <cell r="D67">
            <v>-697975.33</v>
          </cell>
          <cell r="E67">
            <v>-31668.17</v>
          </cell>
          <cell r="F67">
            <v>-356025</v>
          </cell>
          <cell r="G67">
            <v>-1909918.9</v>
          </cell>
          <cell r="H67">
            <v>-1070387.6599999999</v>
          </cell>
          <cell r="I67">
            <v>-1219047.94</v>
          </cell>
          <cell r="J67">
            <v>-1128094.53</v>
          </cell>
          <cell r="K67">
            <v>-1513926.17</v>
          </cell>
          <cell r="L67">
            <v>-18488.150000000001</v>
          </cell>
          <cell r="M67">
            <v>10318.5</v>
          </cell>
          <cell r="N67">
            <v>0</v>
          </cell>
          <cell r="O67">
            <v>0</v>
          </cell>
          <cell r="P67">
            <v>-3110.04</v>
          </cell>
          <cell r="Q67">
            <v>-10726.8</v>
          </cell>
          <cell r="R67">
            <v>-744.75</v>
          </cell>
          <cell r="S67">
            <v>-20792.34</v>
          </cell>
          <cell r="T67">
            <v>2.68</v>
          </cell>
          <cell r="U67">
            <v>-357029.05</v>
          </cell>
          <cell r="V67">
            <v>25875</v>
          </cell>
          <cell r="W67">
            <v>0</v>
          </cell>
          <cell r="X67">
            <v>-33650.660000000003</v>
          </cell>
          <cell r="Y67">
            <v>0</v>
          </cell>
          <cell r="Z67">
            <v>0</v>
          </cell>
          <cell r="AA67">
            <v>0</v>
          </cell>
          <cell r="AB67">
            <v>-170477.75</v>
          </cell>
          <cell r="AC67">
            <v>-20496</v>
          </cell>
          <cell r="AD67">
            <v>0</v>
          </cell>
          <cell r="AE67">
            <v>0</v>
          </cell>
          <cell r="AF67">
            <v>-34410</v>
          </cell>
          <cell r="AG67">
            <v>-69916.289999999994</v>
          </cell>
          <cell r="AH67">
            <v>-42928.26</v>
          </cell>
          <cell r="AI67">
            <v>-87752.37</v>
          </cell>
          <cell r="AJ67">
            <v>0</v>
          </cell>
          <cell r="AK67">
            <v>0</v>
          </cell>
          <cell r="AL67">
            <v>0</v>
          </cell>
          <cell r="AM67">
            <v>0</v>
          </cell>
          <cell r="AN67">
            <v>0</v>
          </cell>
          <cell r="AO67">
            <v>-392257.45</v>
          </cell>
          <cell r="AP67">
            <v>-11780.03</v>
          </cell>
          <cell r="AQ67">
            <v>0</v>
          </cell>
          <cell r="AR67">
            <v>-97310.05</v>
          </cell>
          <cell r="AS67">
            <v>0</v>
          </cell>
          <cell r="AT67">
            <v>-11906.4</v>
          </cell>
          <cell r="AU67">
            <v>0</v>
          </cell>
          <cell r="AV67">
            <v>-62986.11</v>
          </cell>
          <cell r="AW67">
            <v>-139738.5</v>
          </cell>
          <cell r="AX67">
            <v>-794169.76</v>
          </cell>
          <cell r="AY67">
            <v>-3668.96</v>
          </cell>
          <cell r="AZ67">
            <v>0</v>
          </cell>
          <cell r="BA67">
            <v>-1212.96</v>
          </cell>
          <cell r="BB67">
            <v>0</v>
          </cell>
          <cell r="BC67">
            <v>-1183.5999999999999</v>
          </cell>
          <cell r="BD67">
            <v>0</v>
          </cell>
          <cell r="BE67">
            <v>-975</v>
          </cell>
          <cell r="BF67">
            <v>-316924.71000000002</v>
          </cell>
          <cell r="BG67">
            <v>-40874.730000000003</v>
          </cell>
          <cell r="BH67">
            <v>0</v>
          </cell>
          <cell r="BI67">
            <v>0</v>
          </cell>
          <cell r="BJ67">
            <v>0</v>
          </cell>
          <cell r="BK67">
            <v>0</v>
          </cell>
          <cell r="BL67">
            <v>-440000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-939847.09</v>
          </cell>
          <cell r="CC67">
            <v>-462368.03</v>
          </cell>
          <cell r="CD67">
            <v>-890245.97</v>
          </cell>
          <cell r="CE67">
            <v>0</v>
          </cell>
          <cell r="CF67">
            <v>0</v>
          </cell>
          <cell r="CG67">
            <v>-16453.16</v>
          </cell>
          <cell r="CH67">
            <v>0</v>
          </cell>
          <cell r="CI67">
            <v>0</v>
          </cell>
          <cell r="CJ67">
            <v>0</v>
          </cell>
          <cell r="CK67">
            <v>-284314.19</v>
          </cell>
          <cell r="CL67">
            <v>-13501.6</v>
          </cell>
          <cell r="CM67">
            <v>-25465</v>
          </cell>
          <cell r="CN67">
            <v>0</v>
          </cell>
          <cell r="CO67">
            <v>0</v>
          </cell>
          <cell r="CP67">
            <v>0</v>
          </cell>
          <cell r="CQ67">
            <v>0</v>
          </cell>
          <cell r="CR67">
            <v>-204155.14</v>
          </cell>
          <cell r="CS67">
            <v>0</v>
          </cell>
          <cell r="CT67">
            <v>0</v>
          </cell>
          <cell r="CU67">
            <v>0</v>
          </cell>
          <cell r="CV67">
            <v>0</v>
          </cell>
          <cell r="CW67">
            <v>0</v>
          </cell>
          <cell r="CX67">
            <v>0</v>
          </cell>
          <cell r="CY67">
            <v>0</v>
          </cell>
          <cell r="CZ67">
            <v>0</v>
          </cell>
          <cell r="DA67">
            <v>-18812.18</v>
          </cell>
          <cell r="DB67">
            <v>-7391.67</v>
          </cell>
          <cell r="DC67">
            <v>-82928.45</v>
          </cell>
          <cell r="DD67">
            <v>-12479.4</v>
          </cell>
          <cell r="DE67">
            <v>0</v>
          </cell>
          <cell r="DF67">
            <v>0</v>
          </cell>
          <cell r="DG67">
            <v>0</v>
          </cell>
          <cell r="DH67">
            <v>-121611.69999999998</v>
          </cell>
        </row>
        <row r="68">
          <cell r="A68" t="str">
            <v>4810600</v>
          </cell>
          <cell r="B68" t="str">
            <v>4810600</v>
          </cell>
          <cell r="C68" t="str">
            <v>OSS PGA NonRP Reslr</v>
          </cell>
          <cell r="D68">
            <v>-2960101.84</v>
          </cell>
          <cell r="E68">
            <v>-1006812.2</v>
          </cell>
          <cell r="F68">
            <v>-2100955.4300000002</v>
          </cell>
          <cell r="G68">
            <v>-3847841.15</v>
          </cell>
          <cell r="H68">
            <v>569043.78</v>
          </cell>
          <cell r="I68">
            <v>192166.28</v>
          </cell>
          <cell r="J68">
            <v>-2488342.86</v>
          </cell>
          <cell r="K68">
            <v>-4551295.17</v>
          </cell>
          <cell r="L68">
            <v>-2729809.2</v>
          </cell>
          <cell r="M68">
            <v>-3286319.65</v>
          </cell>
          <cell r="N68">
            <v>-2685982.12</v>
          </cell>
          <cell r="O68">
            <v>6884389.1200000001</v>
          </cell>
          <cell r="P68">
            <v>-1192954.74</v>
          </cell>
          <cell r="Q68">
            <v>-1463246.26</v>
          </cell>
          <cell r="R68">
            <v>-880261.24</v>
          </cell>
          <cell r="S68">
            <v>-5458941.4199999999</v>
          </cell>
          <cell r="T68">
            <v>1210999.5900000001</v>
          </cell>
          <cell r="U68">
            <v>-3602090.94</v>
          </cell>
          <cell r="V68">
            <v>-1642659.8400000001</v>
          </cell>
          <cell r="W68">
            <v>-4710306.9400000004</v>
          </cell>
          <cell r="X68">
            <v>-874199.14</v>
          </cell>
          <cell r="Y68">
            <v>-2270685.38</v>
          </cell>
          <cell r="Z68">
            <v>-5054804.8600000003</v>
          </cell>
          <cell r="AA68">
            <v>2526459.5499999998</v>
          </cell>
          <cell r="AB68">
            <v>-3143793.38</v>
          </cell>
          <cell r="AC68">
            <v>-3303712.4</v>
          </cell>
          <cell r="AD68">
            <v>-4147901.99</v>
          </cell>
          <cell r="AE68">
            <v>-4952470.47</v>
          </cell>
          <cell r="AF68">
            <v>-512821.38</v>
          </cell>
          <cell r="AG68">
            <v>-2886229.81</v>
          </cell>
          <cell r="AH68">
            <v>-5567031.8799999999</v>
          </cell>
          <cell r="AI68">
            <v>-995251.71</v>
          </cell>
          <cell r="AJ68">
            <v>-918980.19</v>
          </cell>
          <cell r="AK68">
            <v>-1960396.63</v>
          </cell>
          <cell r="AL68">
            <v>1692219.78</v>
          </cell>
          <cell r="AM68">
            <v>-2336523.15</v>
          </cell>
          <cell r="AN68">
            <v>-3136818.11</v>
          </cell>
          <cell r="AO68">
            <v>-1806265.82</v>
          </cell>
          <cell r="AP68">
            <v>-2524413.23</v>
          </cell>
          <cell r="AQ68">
            <v>-4898465.49</v>
          </cell>
          <cell r="AR68">
            <v>-4217242.3499999996</v>
          </cell>
          <cell r="AS68">
            <v>-2168530.61</v>
          </cell>
          <cell r="AT68">
            <v>-5110199.37</v>
          </cell>
          <cell r="AU68">
            <v>-9367992.5500000007</v>
          </cell>
          <cell r="AV68">
            <v>-7142139.79</v>
          </cell>
          <cell r="AW68">
            <v>-2385673.9900000002</v>
          </cell>
          <cell r="AX68">
            <v>-1318042.05</v>
          </cell>
          <cell r="AY68">
            <v>-4010891.38</v>
          </cell>
          <cell r="AZ68">
            <v>-7235523.1100000003</v>
          </cell>
          <cell r="BA68">
            <v>-1551145.2</v>
          </cell>
          <cell r="BB68">
            <v>-2477322.9700000002</v>
          </cell>
          <cell r="BC68">
            <v>-3167035.4</v>
          </cell>
          <cell r="BD68">
            <v>-4290901.74</v>
          </cell>
          <cell r="BE68">
            <v>-6203315.8899999997</v>
          </cell>
          <cell r="BF68">
            <v>-7298364.5899999999</v>
          </cell>
          <cell r="BG68">
            <v>-2220540.2200000002</v>
          </cell>
          <cell r="BH68">
            <v>-5079355.62</v>
          </cell>
          <cell r="BI68">
            <v>-8476893.8699999992</v>
          </cell>
          <cell r="BJ68">
            <v>-3994055.83</v>
          </cell>
          <cell r="BK68">
            <v>-2892368.16</v>
          </cell>
          <cell r="BL68">
            <v>-4718673.55</v>
          </cell>
          <cell r="BM68">
            <v>-2365626.79</v>
          </cell>
          <cell r="BN68">
            <v>-3742122.22</v>
          </cell>
          <cell r="BO68">
            <v>-3628534.08</v>
          </cell>
          <cell r="BP68">
            <v>-5516300.9699999997</v>
          </cell>
          <cell r="BQ68">
            <v>-1930938.51</v>
          </cell>
          <cell r="BR68">
            <v>-1995341.15</v>
          </cell>
          <cell r="BS68">
            <v>-2780807.59</v>
          </cell>
          <cell r="BT68">
            <v>-5757290.1799999997</v>
          </cell>
          <cell r="BU68">
            <v>-3646795.87</v>
          </cell>
          <cell r="BV68">
            <v>-1772617.2</v>
          </cell>
          <cell r="BW68">
            <v>-1681102.87</v>
          </cell>
          <cell r="BX68">
            <v>-3750683.19</v>
          </cell>
          <cell r="BY68">
            <v>-2230016.41</v>
          </cell>
          <cell r="BZ68">
            <v>-2585747.5099999998</v>
          </cell>
          <cell r="CA68">
            <v>-1286578.3400000001</v>
          </cell>
          <cell r="CB68">
            <v>-1668.67</v>
          </cell>
          <cell r="CC68">
            <v>-1889489.61</v>
          </cell>
          <cell r="CD68">
            <v>-1209050.73</v>
          </cell>
          <cell r="CE68">
            <v>-73981.100000000006</v>
          </cell>
          <cell r="CF68">
            <v>-1903661.84</v>
          </cell>
          <cell r="CG68">
            <v>-890394.53</v>
          </cell>
          <cell r="CH68">
            <v>-1499788.72</v>
          </cell>
          <cell r="CI68">
            <v>-2024936.52</v>
          </cell>
          <cell r="CJ68">
            <v>-1384063.25</v>
          </cell>
          <cell r="CK68">
            <v>-1699253.1</v>
          </cell>
          <cell r="CL68">
            <v>-1373227.09</v>
          </cell>
          <cell r="CM68">
            <v>-536911.77</v>
          </cell>
          <cell r="CN68">
            <v>-1048843.8</v>
          </cell>
          <cell r="CO68">
            <v>-691384.48</v>
          </cell>
          <cell r="CP68">
            <v>-2358873.1800000002</v>
          </cell>
          <cell r="CQ68">
            <v>-2519350.4700000002</v>
          </cell>
          <cell r="CR68">
            <v>-1183878.04</v>
          </cell>
          <cell r="CS68">
            <v>-4844834.05</v>
          </cell>
          <cell r="CT68">
            <v>3032790.76</v>
          </cell>
          <cell r="CU68">
            <v>-27435.7</v>
          </cell>
          <cell r="CV68">
            <v>-5199706.53</v>
          </cell>
          <cell r="CW68">
            <v>-119414.94</v>
          </cell>
          <cell r="CX68">
            <v>-1567222.31</v>
          </cell>
          <cell r="CY68">
            <v>-867797.2</v>
          </cell>
          <cell r="CZ68">
            <v>-7941351.79</v>
          </cell>
          <cell r="DA68">
            <v>-6527326.2800000003</v>
          </cell>
          <cell r="DB68">
            <v>-7689383.4500000002</v>
          </cell>
          <cell r="DC68">
            <v>-2609000.9300000002</v>
          </cell>
          <cell r="DD68">
            <v>-153713.79</v>
          </cell>
          <cell r="DE68">
            <v>1690628.4</v>
          </cell>
          <cell r="DF68">
            <v>-194558.45</v>
          </cell>
          <cell r="DG68">
            <v>-2021779.48</v>
          </cell>
          <cell r="DH68">
            <v>-33200626.75</v>
          </cell>
        </row>
        <row r="69">
          <cell r="A69" t="str">
            <v>4810601</v>
          </cell>
          <cell r="B69" t="str">
            <v>4810601</v>
          </cell>
          <cell r="C69" t="str">
            <v>OSS PGA NonRP EndUsr</v>
          </cell>
          <cell r="D69">
            <v>0</v>
          </cell>
          <cell r="E69">
            <v>-1100618.1100000001</v>
          </cell>
          <cell r="F69">
            <v>0</v>
          </cell>
          <cell r="G69">
            <v>-42589.16</v>
          </cell>
          <cell r="H69">
            <v>-1370351.33</v>
          </cell>
          <cell r="I69">
            <v>0</v>
          </cell>
          <cell r="J69">
            <v>-246032.92</v>
          </cell>
          <cell r="K69">
            <v>0</v>
          </cell>
          <cell r="L69">
            <v>0</v>
          </cell>
          <cell r="M69">
            <v>0</v>
          </cell>
          <cell r="N69">
            <v>0</v>
          </cell>
          <cell r="O69">
            <v>-8786642.0899999999</v>
          </cell>
          <cell r="P69">
            <v>-919239.31</v>
          </cell>
          <cell r="Q69">
            <v>-1242955.5900000001</v>
          </cell>
          <cell r="R69">
            <v>-943938.54</v>
          </cell>
          <cell r="S69">
            <v>-18503.650000000001</v>
          </cell>
          <cell r="T69">
            <v>-4417517.07</v>
          </cell>
          <cell r="U69">
            <v>-1109691.9099999999</v>
          </cell>
          <cell r="V69">
            <v>-1456089.48</v>
          </cell>
          <cell r="W69">
            <v>-1069964.6200000001</v>
          </cell>
          <cell r="X69">
            <v>-3357849.47</v>
          </cell>
          <cell r="Y69">
            <v>-2267449.5299999998</v>
          </cell>
          <cell r="Z69">
            <v>-2084395.7</v>
          </cell>
          <cell r="AA69">
            <v>-4507608.57</v>
          </cell>
          <cell r="AB69">
            <v>-628417.53</v>
          </cell>
          <cell r="AC69">
            <v>-475110.38</v>
          </cell>
          <cell r="AD69">
            <v>-580176.25</v>
          </cell>
          <cell r="AE69">
            <v>-1797717.79</v>
          </cell>
          <cell r="AF69">
            <v>-4033798.23</v>
          </cell>
          <cell r="AG69">
            <v>-3318090.06</v>
          </cell>
          <cell r="AH69">
            <v>-4605756.21</v>
          </cell>
          <cell r="AI69">
            <v>-7897457.46</v>
          </cell>
          <cell r="AJ69">
            <v>-6539169.9699999997</v>
          </cell>
          <cell r="AK69">
            <v>-5803758.0999999996</v>
          </cell>
          <cell r="AL69">
            <v>-4304687.46</v>
          </cell>
          <cell r="AM69">
            <v>-623602.86</v>
          </cell>
          <cell r="AN69">
            <v>-624123.12</v>
          </cell>
          <cell r="AO69">
            <v>-907239.75</v>
          </cell>
          <cell r="AP69">
            <v>-525942.62</v>
          </cell>
          <cell r="AQ69">
            <v>-519468.45</v>
          </cell>
          <cell r="AR69">
            <v>-2023226.36</v>
          </cell>
          <cell r="AS69">
            <v>-2387836.81</v>
          </cell>
          <cell r="AT69">
            <v>-1745048.69</v>
          </cell>
          <cell r="AU69">
            <v>-2487358.96</v>
          </cell>
          <cell r="AV69">
            <v>-2025158.98</v>
          </cell>
          <cell r="AW69">
            <v>-2078420.95</v>
          </cell>
          <cell r="AX69">
            <v>-1536882.3</v>
          </cell>
          <cell r="AY69">
            <v>-1492422.08</v>
          </cell>
          <cell r="AZ69">
            <v>-884711.27</v>
          </cell>
          <cell r="BA69">
            <v>-2245333.0499999998</v>
          </cell>
          <cell r="BB69">
            <v>0</v>
          </cell>
          <cell r="BC69">
            <v>-112321.46</v>
          </cell>
          <cell r="BD69">
            <v>-448281.99</v>
          </cell>
          <cell r="BE69">
            <v>-1603135.15</v>
          </cell>
          <cell r="BF69">
            <v>-2160233.2999999998</v>
          </cell>
          <cell r="BG69">
            <v>-4608732.4000000004</v>
          </cell>
          <cell r="BH69">
            <v>-3041675.1</v>
          </cell>
          <cell r="BI69">
            <v>-2035339.21</v>
          </cell>
          <cell r="BJ69">
            <v>-2743306.74</v>
          </cell>
          <cell r="BK69">
            <v>-983535.89</v>
          </cell>
          <cell r="BL69">
            <v>-476081.36</v>
          </cell>
          <cell r="BM69">
            <v>-584373.06000000006</v>
          </cell>
          <cell r="BN69">
            <v>0</v>
          </cell>
          <cell r="BO69">
            <v>-226101.28</v>
          </cell>
          <cell r="BP69">
            <v>-965912.7</v>
          </cell>
          <cell r="BQ69">
            <v>-2020746.46</v>
          </cell>
          <cell r="BR69">
            <v>-1603333.36</v>
          </cell>
          <cell r="BS69">
            <v>-1062501.24</v>
          </cell>
          <cell r="BT69">
            <v>-1231996.04</v>
          </cell>
          <cell r="BU69">
            <v>-2429141.4500000002</v>
          </cell>
          <cell r="BV69">
            <v>-1936601.4</v>
          </cell>
          <cell r="BW69">
            <v>-1417597.66</v>
          </cell>
          <cell r="BX69">
            <v>-199010.44</v>
          </cell>
          <cell r="BY69">
            <v>-193144.94</v>
          </cell>
          <cell r="BZ69">
            <v>-318370.65999999997</v>
          </cell>
          <cell r="CA69">
            <v>-767481.33</v>
          </cell>
          <cell r="CB69">
            <v>-1019898</v>
          </cell>
          <cell r="CC69">
            <v>-885211.04</v>
          </cell>
          <cell r="CD69">
            <v>-1444712.59</v>
          </cell>
          <cell r="CE69">
            <v>-1607795.18</v>
          </cell>
          <cell r="CF69">
            <v>-161435.69</v>
          </cell>
          <cell r="CG69">
            <v>-554884.9</v>
          </cell>
          <cell r="CH69">
            <v>-174565.93</v>
          </cell>
          <cell r="CI69">
            <v>-0.43</v>
          </cell>
          <cell r="CJ69">
            <v>-257332.47</v>
          </cell>
          <cell r="CK69">
            <v>-194793.88</v>
          </cell>
          <cell r="CL69">
            <v>-339288.73</v>
          </cell>
          <cell r="CM69">
            <v>-13170</v>
          </cell>
          <cell r="CN69">
            <v>-406157.37</v>
          </cell>
          <cell r="CO69">
            <v>-966677.15</v>
          </cell>
          <cell r="CP69">
            <v>-164416.32999999999</v>
          </cell>
          <cell r="CQ69">
            <v>0</v>
          </cell>
          <cell r="CR69">
            <v>-179135.51</v>
          </cell>
          <cell r="CS69">
            <v>-218918.45</v>
          </cell>
          <cell r="CT69">
            <v>-3449897.36</v>
          </cell>
          <cell r="CU69">
            <v>-202767</v>
          </cell>
          <cell r="CV69">
            <v>0</v>
          </cell>
          <cell r="CW69">
            <v>-2937389.71</v>
          </cell>
          <cell r="CX69">
            <v>-2717783.86</v>
          </cell>
          <cell r="CY69">
            <v>-3193265.89</v>
          </cell>
          <cell r="CZ69">
            <v>-3910769.5</v>
          </cell>
          <cell r="DA69">
            <v>-7333681.1200000001</v>
          </cell>
          <cell r="DB69">
            <v>-7143329.8600000003</v>
          </cell>
          <cell r="DC69">
            <v>-10400496.460000001</v>
          </cell>
          <cell r="DD69">
            <v>-8359855.2599999998</v>
          </cell>
          <cell r="DE69">
            <v>-5463363.6399999997</v>
          </cell>
          <cell r="DF69">
            <v>-3445277.75</v>
          </cell>
          <cell r="DG69">
            <v>-3303314.79</v>
          </cell>
          <cell r="DH69">
            <v>-58208527.840000004</v>
          </cell>
        </row>
        <row r="70">
          <cell r="A70" t="str">
            <v>4810602</v>
          </cell>
          <cell r="B70" t="str">
            <v>4810602</v>
          </cell>
          <cell r="C70" t="str">
            <v>OSS PGS Receipt Pnt</v>
          </cell>
          <cell r="D70">
            <v>0</v>
          </cell>
          <cell r="E70">
            <v>-34438.94</v>
          </cell>
          <cell r="F70">
            <v>0</v>
          </cell>
          <cell r="G70">
            <v>0</v>
          </cell>
          <cell r="H70">
            <v>-10255.25</v>
          </cell>
          <cell r="I70">
            <v>-629850</v>
          </cell>
          <cell r="J70">
            <v>0</v>
          </cell>
          <cell r="K70">
            <v>-154572.67000000001</v>
          </cell>
          <cell r="L70">
            <v>-12759.64</v>
          </cell>
          <cell r="M70">
            <v>0</v>
          </cell>
          <cell r="N70">
            <v>-319290.15999999997</v>
          </cell>
          <cell r="O70">
            <v>-269035.38</v>
          </cell>
          <cell r="P70">
            <v>-331941.21999999997</v>
          </cell>
          <cell r="Q70">
            <v>-341092.52</v>
          </cell>
          <cell r="R70">
            <v>-245638.21</v>
          </cell>
          <cell r="S70">
            <v>-90214.84</v>
          </cell>
          <cell r="T70">
            <v>0</v>
          </cell>
          <cell r="U70">
            <v>-22376.38</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-45700.52</v>
          </cell>
          <cell r="AR70">
            <v>0</v>
          </cell>
          <cell r="AS70">
            <v>0</v>
          </cell>
          <cell r="AT70">
            <v>0</v>
          </cell>
          <cell r="AU70">
            <v>0</v>
          </cell>
          <cell r="AV70">
            <v>0</v>
          </cell>
          <cell r="AW70">
            <v>0</v>
          </cell>
          <cell r="AX70">
            <v>0</v>
          </cell>
          <cell r="AY70">
            <v>0</v>
          </cell>
          <cell r="AZ70">
            <v>0</v>
          </cell>
          <cell r="BA70">
            <v>-54521.53</v>
          </cell>
          <cell r="BB70">
            <v>0</v>
          </cell>
          <cell r="BC70">
            <v>0</v>
          </cell>
          <cell r="BD70">
            <v>0</v>
          </cell>
          <cell r="BE70">
            <v>0</v>
          </cell>
          <cell r="BF70">
            <v>0</v>
          </cell>
          <cell r="BG70">
            <v>0</v>
          </cell>
          <cell r="BH70">
            <v>0</v>
          </cell>
          <cell r="BI70">
            <v>-15077.56</v>
          </cell>
          <cell r="BJ70">
            <v>0</v>
          </cell>
          <cell r="BK70">
            <v>-96.52</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-47640.14</v>
          </cell>
          <cell r="CW70">
            <v>-930643.9</v>
          </cell>
          <cell r="CX70">
            <v>-659351</v>
          </cell>
          <cell r="CY70">
            <v>0</v>
          </cell>
          <cell r="CZ70">
            <v>0</v>
          </cell>
          <cell r="DA70">
            <v>0</v>
          </cell>
          <cell r="DB70">
            <v>0</v>
          </cell>
          <cell r="DC70">
            <v>0</v>
          </cell>
          <cell r="DD70">
            <v>0</v>
          </cell>
          <cell r="DE70">
            <v>0</v>
          </cell>
          <cell r="DF70">
            <v>0</v>
          </cell>
          <cell r="DG70">
            <v>0</v>
          </cell>
          <cell r="DH70">
            <v>-1637635.04</v>
          </cell>
        </row>
        <row r="71">
          <cell r="A71" t="str">
            <v>4810610</v>
          </cell>
          <cell r="B71" t="str">
            <v>4810610</v>
          </cell>
          <cell r="C71" t="str">
            <v>OSS Marg NonRP Reslr</v>
          </cell>
          <cell r="D71">
            <v>-79762.490000000005</v>
          </cell>
          <cell r="E71">
            <v>-22325.69</v>
          </cell>
          <cell r="F71">
            <v>-33190.81</v>
          </cell>
          <cell r="G71">
            <v>-35887.61</v>
          </cell>
          <cell r="H71">
            <v>21720.17</v>
          </cell>
          <cell r="I71">
            <v>-341.14</v>
          </cell>
          <cell r="J71">
            <v>-40951.94</v>
          </cell>
          <cell r="K71">
            <v>-83223.02</v>
          </cell>
          <cell r="L71">
            <v>-28235.919999999998</v>
          </cell>
          <cell r="M71">
            <v>-31409.53</v>
          </cell>
          <cell r="N71">
            <v>-29777.79</v>
          </cell>
          <cell r="O71">
            <v>75488.53</v>
          </cell>
          <cell r="P71">
            <v>-36665.870000000003</v>
          </cell>
          <cell r="Q71">
            <v>-66069.69</v>
          </cell>
          <cell r="R71">
            <v>9336.91</v>
          </cell>
          <cell r="S71">
            <v>-192674.69</v>
          </cell>
          <cell r="T71">
            <v>88452.15</v>
          </cell>
          <cell r="U71">
            <v>-192179.07</v>
          </cell>
          <cell r="V71">
            <v>-34270.629999999997</v>
          </cell>
          <cell r="W71">
            <v>-156225.5</v>
          </cell>
          <cell r="X71">
            <v>-58836.56</v>
          </cell>
          <cell r="Y71">
            <v>-41409.24</v>
          </cell>
          <cell r="Z71">
            <v>-268875.36</v>
          </cell>
          <cell r="AA71">
            <v>150686.18</v>
          </cell>
          <cell r="AB71">
            <v>-96563.13</v>
          </cell>
          <cell r="AC71">
            <v>-118517.79</v>
          </cell>
          <cell r="AD71">
            <v>-161934.60999999999</v>
          </cell>
          <cell r="AE71">
            <v>-191345.68</v>
          </cell>
          <cell r="AF71">
            <v>-83402.399999999994</v>
          </cell>
          <cell r="AG71">
            <v>-158601.09</v>
          </cell>
          <cell r="AH71">
            <v>-240429.32</v>
          </cell>
          <cell r="AI71">
            <v>-17627.48</v>
          </cell>
          <cell r="AJ71">
            <v>50339.05</v>
          </cell>
          <cell r="AK71">
            <v>-57307.79</v>
          </cell>
          <cell r="AL71">
            <v>37409.129999999997</v>
          </cell>
          <cell r="AM71">
            <v>-61994.11</v>
          </cell>
          <cell r="AN71">
            <v>-106230.12</v>
          </cell>
          <cell r="AO71">
            <v>-81512</v>
          </cell>
          <cell r="AP71">
            <v>-87399.12</v>
          </cell>
          <cell r="AQ71">
            <v>-106188.93</v>
          </cell>
          <cell r="AR71">
            <v>-145275.15</v>
          </cell>
          <cell r="AS71">
            <v>-74552.929999999993</v>
          </cell>
          <cell r="AT71">
            <v>-134915.99</v>
          </cell>
          <cell r="AU71">
            <v>-228125.6</v>
          </cell>
          <cell r="AV71">
            <v>-165703.92000000001</v>
          </cell>
          <cell r="AW71">
            <v>-106773.92</v>
          </cell>
          <cell r="AX71">
            <v>-19630.61</v>
          </cell>
          <cell r="AY71">
            <v>-132013.9</v>
          </cell>
          <cell r="AZ71">
            <v>-443321.58</v>
          </cell>
          <cell r="BA71">
            <v>13367.43</v>
          </cell>
          <cell r="BB71">
            <v>-74617.91</v>
          </cell>
          <cell r="BC71">
            <v>-75802.91</v>
          </cell>
          <cell r="BD71">
            <v>-120529.23</v>
          </cell>
          <cell r="BE71">
            <v>-165561.26999999999</v>
          </cell>
          <cell r="BF71">
            <v>-205041.79</v>
          </cell>
          <cell r="BG71">
            <v>-96156.67</v>
          </cell>
          <cell r="BH71">
            <v>-206455.6</v>
          </cell>
          <cell r="BI71">
            <v>-236894.72</v>
          </cell>
          <cell r="BJ71">
            <v>17124.71</v>
          </cell>
          <cell r="BK71">
            <v>-51906.39</v>
          </cell>
          <cell r="BL71">
            <v>-79679.06</v>
          </cell>
          <cell r="BM71">
            <v>-50769.53</v>
          </cell>
          <cell r="BN71">
            <v>-75137.490000000005</v>
          </cell>
          <cell r="BO71">
            <v>-71912.490000000005</v>
          </cell>
          <cell r="BP71">
            <v>-173857.47</v>
          </cell>
          <cell r="BQ71">
            <v>-74509.66</v>
          </cell>
          <cell r="BR71">
            <v>-58902.2</v>
          </cell>
          <cell r="BS71">
            <v>-50547.24</v>
          </cell>
          <cell r="BT71">
            <v>-137057.75</v>
          </cell>
          <cell r="BU71">
            <v>-97155.08</v>
          </cell>
          <cell r="BV71">
            <v>-36407.19</v>
          </cell>
          <cell r="BW71">
            <v>-89735.98</v>
          </cell>
          <cell r="BX71">
            <v>-87654.94</v>
          </cell>
          <cell r="BY71">
            <v>-80933.53</v>
          </cell>
          <cell r="BZ71">
            <v>-62951.839999999997</v>
          </cell>
          <cell r="CA71">
            <v>-46665.9</v>
          </cell>
          <cell r="CB71">
            <v>-56972.17</v>
          </cell>
          <cell r="CC71">
            <v>-102829.58</v>
          </cell>
          <cell r="CD71">
            <v>-40303.68</v>
          </cell>
          <cell r="CE71">
            <v>-42611.82</v>
          </cell>
          <cell r="CF71">
            <v>-97756.77</v>
          </cell>
          <cell r="CG71">
            <v>-69689.81</v>
          </cell>
          <cell r="CH71">
            <v>-105608.9</v>
          </cell>
          <cell r="CI71">
            <v>-119559.55</v>
          </cell>
          <cell r="CJ71">
            <v>-84356.3</v>
          </cell>
          <cell r="CK71">
            <v>-121443.33</v>
          </cell>
          <cell r="CL71">
            <v>-97206.86</v>
          </cell>
          <cell r="CM71">
            <v>-60487.39</v>
          </cell>
          <cell r="CN71">
            <v>-68703.47</v>
          </cell>
          <cell r="CO71">
            <v>-62842.81</v>
          </cell>
          <cell r="CP71">
            <v>-82875.039999999994</v>
          </cell>
          <cell r="CQ71">
            <v>-89557.81</v>
          </cell>
          <cell r="CR71">
            <v>-79649.570000000007</v>
          </cell>
          <cell r="CS71">
            <v>-121428.09</v>
          </cell>
          <cell r="CT71">
            <v>-48627.46</v>
          </cell>
          <cell r="CU71">
            <v>-59742.71</v>
          </cell>
          <cell r="CV71">
            <v>-299104.86</v>
          </cell>
          <cell r="CW71">
            <v>-67929.41</v>
          </cell>
          <cell r="CX71">
            <v>-155727.35</v>
          </cell>
          <cell r="CY71">
            <v>-41827.64</v>
          </cell>
          <cell r="CZ71">
            <v>-133846.75</v>
          </cell>
          <cell r="DA71">
            <v>-294726.48</v>
          </cell>
          <cell r="DB71">
            <v>-275521.49</v>
          </cell>
          <cell r="DC71">
            <v>-1244598.98</v>
          </cell>
          <cell r="DD71">
            <v>217346.63</v>
          </cell>
          <cell r="DE71">
            <v>-29030.09</v>
          </cell>
          <cell r="DF71">
            <v>-99960.04</v>
          </cell>
          <cell r="DG71">
            <v>-241894.89</v>
          </cell>
          <cell r="DH71">
            <v>-2666821.35</v>
          </cell>
        </row>
        <row r="72">
          <cell r="A72" t="str">
            <v>4810611</v>
          </cell>
          <cell r="B72" t="str">
            <v>4810611</v>
          </cell>
          <cell r="C72" t="str">
            <v>OSS Margin Non RP EU</v>
          </cell>
          <cell r="D72">
            <v>0</v>
          </cell>
          <cell r="E72">
            <v>-25481.89</v>
          </cell>
          <cell r="F72">
            <v>0</v>
          </cell>
          <cell r="G72">
            <v>-387.08</v>
          </cell>
          <cell r="H72">
            <v>-23375.17</v>
          </cell>
          <cell r="I72">
            <v>0</v>
          </cell>
          <cell r="J72">
            <v>-979.58</v>
          </cell>
          <cell r="K72">
            <v>0</v>
          </cell>
          <cell r="L72">
            <v>0</v>
          </cell>
          <cell r="M72">
            <v>0</v>
          </cell>
          <cell r="N72">
            <v>0</v>
          </cell>
          <cell r="O72">
            <v>-93253.77</v>
          </cell>
          <cell r="P72">
            <v>-53670.74</v>
          </cell>
          <cell r="Q72">
            <v>-32452.89</v>
          </cell>
          <cell r="R72">
            <v>-46636.27</v>
          </cell>
          <cell r="S72">
            <v>-288.35000000000002</v>
          </cell>
          <cell r="T72">
            <v>-169372.38</v>
          </cell>
          <cell r="U72">
            <v>-23660.98</v>
          </cell>
          <cell r="V72">
            <v>-40020.53</v>
          </cell>
          <cell r="W72">
            <v>-13450.21</v>
          </cell>
          <cell r="X72">
            <v>-97678.48</v>
          </cell>
          <cell r="Y72">
            <v>-83068.320000000007</v>
          </cell>
          <cell r="Z72">
            <v>-67487.42</v>
          </cell>
          <cell r="AA72">
            <v>-154896.95999999999</v>
          </cell>
          <cell r="AB72">
            <v>-11399</v>
          </cell>
          <cell r="AC72">
            <v>-8838.27</v>
          </cell>
          <cell r="AD72">
            <v>-14957.36</v>
          </cell>
          <cell r="AE72">
            <v>-62125.93</v>
          </cell>
          <cell r="AF72">
            <v>-137469.35</v>
          </cell>
          <cell r="AG72">
            <v>-154242.60999999999</v>
          </cell>
          <cell r="AH72">
            <v>-218013.41</v>
          </cell>
          <cell r="AI72">
            <v>-361209.47</v>
          </cell>
          <cell r="AJ72">
            <v>-256102.94</v>
          </cell>
          <cell r="AK72">
            <v>-169100.02</v>
          </cell>
          <cell r="AL72">
            <v>-126300.92</v>
          </cell>
          <cell r="AM72">
            <v>-16687.14</v>
          </cell>
          <cell r="AN72">
            <v>-13436.88</v>
          </cell>
          <cell r="AO72">
            <v>-19494.55</v>
          </cell>
          <cell r="AP72">
            <v>-14597.38</v>
          </cell>
          <cell r="AQ72">
            <v>-18383.55</v>
          </cell>
          <cell r="AR72">
            <v>-30220.97</v>
          </cell>
          <cell r="AS72">
            <v>-60618.7</v>
          </cell>
          <cell r="AT72">
            <v>-47376.23</v>
          </cell>
          <cell r="AU72">
            <v>-58032.07</v>
          </cell>
          <cell r="AV72">
            <v>-37632.93</v>
          </cell>
          <cell r="AW72">
            <v>-36464.699999999997</v>
          </cell>
          <cell r="AX72">
            <v>-49050.44</v>
          </cell>
          <cell r="AY72">
            <v>-20827.919999999998</v>
          </cell>
          <cell r="AZ72">
            <v>-23238.73</v>
          </cell>
          <cell r="BA72">
            <v>-118246.12</v>
          </cell>
          <cell r="BB72">
            <v>0</v>
          </cell>
          <cell r="BC72">
            <v>-1778.54</v>
          </cell>
          <cell r="BD72">
            <v>-4159.55</v>
          </cell>
          <cell r="BE72">
            <v>-17005.259999999998</v>
          </cell>
          <cell r="BF72">
            <v>-37272.03</v>
          </cell>
          <cell r="BG72">
            <v>-84479.41</v>
          </cell>
          <cell r="BH72">
            <v>-60345.71</v>
          </cell>
          <cell r="BI72">
            <v>-63467.4</v>
          </cell>
          <cell r="BJ72">
            <v>-93810.62</v>
          </cell>
          <cell r="BK72">
            <v>-7563.86</v>
          </cell>
          <cell r="BL72">
            <v>-6076.39</v>
          </cell>
          <cell r="BM72">
            <v>-8999.1299999999992</v>
          </cell>
          <cell r="BN72">
            <v>0</v>
          </cell>
          <cell r="BO72">
            <v>-2822.23</v>
          </cell>
          <cell r="BP72">
            <v>-12301.22</v>
          </cell>
          <cell r="BQ72">
            <v>-59896.22</v>
          </cell>
          <cell r="BR72">
            <v>-51816.09</v>
          </cell>
          <cell r="BS72">
            <v>-28979.48</v>
          </cell>
          <cell r="BT72">
            <v>-21806.14</v>
          </cell>
          <cell r="BU72">
            <v>-61399.78</v>
          </cell>
          <cell r="BV72">
            <v>-44642.22</v>
          </cell>
          <cell r="BW72">
            <v>-18303.63</v>
          </cell>
          <cell r="BX72">
            <v>-2243.56</v>
          </cell>
          <cell r="BY72">
            <v>-3322.44</v>
          </cell>
          <cell r="BZ72">
            <v>-2935.72</v>
          </cell>
          <cell r="CA72">
            <v>-4232.8999999999996</v>
          </cell>
          <cell r="CB72">
            <v>-9360.67</v>
          </cell>
          <cell r="CC72">
            <v>-6938.97</v>
          </cell>
          <cell r="CD72">
            <v>-45157.63</v>
          </cell>
          <cell r="CE72">
            <v>-42181.56</v>
          </cell>
          <cell r="CF72">
            <v>-3060.04</v>
          </cell>
          <cell r="CG72">
            <v>-6091.77</v>
          </cell>
          <cell r="CH72">
            <v>-1169.28</v>
          </cell>
          <cell r="CI72">
            <v>0.43</v>
          </cell>
          <cell r="CJ72">
            <v>-1753.17</v>
          </cell>
          <cell r="CK72">
            <v>-4676.12</v>
          </cell>
          <cell r="CL72">
            <v>-2966.67</v>
          </cell>
          <cell r="CM72">
            <v>-130</v>
          </cell>
          <cell r="CN72">
            <v>-3126.98</v>
          </cell>
          <cell r="CO72">
            <v>-7778.58</v>
          </cell>
          <cell r="CP72">
            <v>-2083.67</v>
          </cell>
          <cell r="CQ72">
            <v>0</v>
          </cell>
          <cell r="CR72">
            <v>-944.76</v>
          </cell>
          <cell r="CS72">
            <v>-456.55</v>
          </cell>
          <cell r="CT72">
            <v>-18830.61</v>
          </cell>
          <cell r="CU72">
            <v>-1043</v>
          </cell>
          <cell r="CV72">
            <v>0</v>
          </cell>
          <cell r="CW72">
            <v>-91577.9</v>
          </cell>
          <cell r="CX72">
            <v>-68481.67</v>
          </cell>
          <cell r="CY72">
            <v>-132857.91</v>
          </cell>
          <cell r="CZ72">
            <v>-84947.33</v>
          </cell>
          <cell r="DA72">
            <v>-100655.63</v>
          </cell>
          <cell r="DB72">
            <v>-137891.53</v>
          </cell>
          <cell r="DC72">
            <v>-223728.46</v>
          </cell>
          <cell r="DD72">
            <v>-570688.39</v>
          </cell>
          <cell r="DE72">
            <v>-145749.63</v>
          </cell>
          <cell r="DF72">
            <v>-81025.919999999998</v>
          </cell>
          <cell r="DG72">
            <v>-88727.3</v>
          </cell>
          <cell r="DH72">
            <v>-1726331.6699999997</v>
          </cell>
        </row>
        <row r="73">
          <cell r="A73" t="str">
            <v>4810612</v>
          </cell>
          <cell r="B73" t="str">
            <v>4810612</v>
          </cell>
          <cell r="C73" t="str">
            <v>OSS Margin RP</v>
          </cell>
          <cell r="D73">
            <v>0</v>
          </cell>
          <cell r="E73">
            <v>-1214.31</v>
          </cell>
          <cell r="F73">
            <v>0</v>
          </cell>
          <cell r="G73">
            <v>0</v>
          </cell>
          <cell r="H73">
            <v>-4.75</v>
          </cell>
          <cell r="I73">
            <v>-1300</v>
          </cell>
          <cell r="J73">
            <v>0</v>
          </cell>
          <cell r="K73">
            <v>-53.33</v>
          </cell>
          <cell r="L73">
            <v>-12.36</v>
          </cell>
          <cell r="M73">
            <v>0</v>
          </cell>
          <cell r="N73">
            <v>-349.91</v>
          </cell>
          <cell r="O73">
            <v>-101.28</v>
          </cell>
          <cell r="P73">
            <v>-97.73</v>
          </cell>
          <cell r="Q73">
            <v>-267.61</v>
          </cell>
          <cell r="R73">
            <v>-641.11</v>
          </cell>
          <cell r="S73">
            <v>-271.24</v>
          </cell>
          <cell r="T73">
            <v>0</v>
          </cell>
          <cell r="U73">
            <v>-10.89</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-49.48</v>
          </cell>
          <cell r="AR73">
            <v>0</v>
          </cell>
          <cell r="AS73">
            <v>0</v>
          </cell>
          <cell r="AT73">
            <v>0</v>
          </cell>
          <cell r="AU73">
            <v>0</v>
          </cell>
          <cell r="AV73">
            <v>0</v>
          </cell>
          <cell r="AW73">
            <v>0</v>
          </cell>
          <cell r="AX73">
            <v>0</v>
          </cell>
          <cell r="AY73">
            <v>0</v>
          </cell>
          <cell r="AZ73">
            <v>0</v>
          </cell>
          <cell r="BA73">
            <v>-9.9499999999999993</v>
          </cell>
          <cell r="BB73">
            <v>0</v>
          </cell>
          <cell r="BC73">
            <v>0</v>
          </cell>
          <cell r="BD73">
            <v>0</v>
          </cell>
          <cell r="BE73">
            <v>0</v>
          </cell>
          <cell r="BF73">
            <v>0</v>
          </cell>
          <cell r="BG73">
            <v>0</v>
          </cell>
          <cell r="BH73">
            <v>0</v>
          </cell>
          <cell r="BI73">
            <v>-33.14</v>
          </cell>
          <cell r="BJ73">
            <v>0</v>
          </cell>
          <cell r="BK73">
            <v>-0.98</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-64.86</v>
          </cell>
          <cell r="CW73">
            <v>-66974.3</v>
          </cell>
          <cell r="CX73">
            <v>46</v>
          </cell>
          <cell r="CY73">
            <v>0</v>
          </cell>
          <cell r="CZ73">
            <v>0</v>
          </cell>
          <cell r="DA73">
            <v>0</v>
          </cell>
          <cell r="DB73">
            <v>0</v>
          </cell>
          <cell r="DC73">
            <v>0</v>
          </cell>
          <cell r="DD73">
            <v>0</v>
          </cell>
          <cell r="DE73">
            <v>0</v>
          </cell>
          <cell r="DF73">
            <v>0</v>
          </cell>
          <cell r="DG73">
            <v>0</v>
          </cell>
          <cell r="DH73">
            <v>-66993.16</v>
          </cell>
        </row>
        <row r="74">
          <cell r="A74" t="str">
            <v>4830091</v>
          </cell>
          <cell r="B74" t="str">
            <v>4830091</v>
          </cell>
          <cell r="C74" t="str">
            <v>Wholesale for Resale</v>
          </cell>
          <cell r="D74">
            <v>-21717.45</v>
          </cell>
          <cell r="E74">
            <v>-22831.200000000001</v>
          </cell>
          <cell r="F74">
            <v>-16632.11</v>
          </cell>
          <cell r="G74">
            <v>-14818.73</v>
          </cell>
          <cell r="H74">
            <v>-11830.95</v>
          </cell>
          <cell r="I74">
            <v>-13421.83</v>
          </cell>
          <cell r="J74">
            <v>-10372.18</v>
          </cell>
          <cell r="K74">
            <v>-9677.58</v>
          </cell>
          <cell r="L74">
            <v>-10937.04</v>
          </cell>
          <cell r="M74">
            <v>-9949.44</v>
          </cell>
          <cell r="N74">
            <v>-11966.81</v>
          </cell>
          <cell r="O74">
            <v>-18629.82</v>
          </cell>
          <cell r="P74">
            <v>-21372.05</v>
          </cell>
          <cell r="Q74">
            <v>-23403.08</v>
          </cell>
          <cell r="R74">
            <v>-22368.32</v>
          </cell>
          <cell r="S74">
            <v>-13395.28</v>
          </cell>
          <cell r="T74">
            <v>-7623.44</v>
          </cell>
          <cell r="U74">
            <v>-8296.82</v>
          </cell>
          <cell r="V74">
            <v>-8301.4699999999993</v>
          </cell>
          <cell r="W74">
            <v>-15477.14</v>
          </cell>
          <cell r="X74">
            <v>-9442.3700000000008</v>
          </cell>
          <cell r="Y74">
            <v>-12352.09</v>
          </cell>
          <cell r="Z74">
            <v>-10668.59</v>
          </cell>
          <cell r="AA74">
            <v>-13801.37</v>
          </cell>
          <cell r="AB74">
            <v>-19903.990000000002</v>
          </cell>
          <cell r="AC74">
            <v>-24880.41</v>
          </cell>
          <cell r="AD74">
            <v>-17784.04</v>
          </cell>
          <cell r="AE74">
            <v>-16215.14</v>
          </cell>
          <cell r="AF74">
            <v>-14635.46</v>
          </cell>
          <cell r="AG74">
            <v>-10694.15</v>
          </cell>
          <cell r="AH74">
            <v>-9689.64</v>
          </cell>
          <cell r="AI74">
            <v>-12211.45</v>
          </cell>
          <cell r="AJ74">
            <v>-12941.36</v>
          </cell>
          <cell r="AK74">
            <v>-16319.19</v>
          </cell>
          <cell r="AL74">
            <v>-11871.12</v>
          </cell>
          <cell r="AM74">
            <v>-12111.75</v>
          </cell>
          <cell r="AN74">
            <v>-30366.21</v>
          </cell>
          <cell r="AO74">
            <v>-1906.51</v>
          </cell>
          <cell r="AP74">
            <v>-26330.47</v>
          </cell>
          <cell r="AQ74">
            <v>-10320.209999999999</v>
          </cell>
          <cell r="AR74">
            <v>-10552.95</v>
          </cell>
          <cell r="AS74">
            <v>-10291.58</v>
          </cell>
          <cell r="AT74">
            <v>-23841.98</v>
          </cell>
          <cell r="AU74">
            <v>38562.379999999997</v>
          </cell>
          <cell r="AV74">
            <v>-51133.35</v>
          </cell>
          <cell r="AW74">
            <v>-10419.81</v>
          </cell>
          <cell r="AX74">
            <v>-15829.37</v>
          </cell>
          <cell r="AY74">
            <v>-18632.55</v>
          </cell>
          <cell r="AZ74">
            <v>-35718.699999999997</v>
          </cell>
          <cell r="BA74">
            <v>-24685.360000000001</v>
          </cell>
          <cell r="BB74">
            <v>-14417.56</v>
          </cell>
          <cell r="BC74">
            <v>-19440.55</v>
          </cell>
          <cell r="BD74">
            <v>-14692.28</v>
          </cell>
          <cell r="BE74">
            <v>-13649.38</v>
          </cell>
          <cell r="BF74">
            <v>-11404.46</v>
          </cell>
          <cell r="BG74">
            <v>-2664</v>
          </cell>
          <cell r="BH74">
            <v>-8620.6299999999992</v>
          </cell>
          <cell r="BI74">
            <v>-7887.7</v>
          </cell>
          <cell r="BJ74">
            <v>-296.38</v>
          </cell>
          <cell r="BK74">
            <v>-35035.870000000003</v>
          </cell>
          <cell r="BL74">
            <v>-18947.37</v>
          </cell>
          <cell r="BM74">
            <v>-22529.38</v>
          </cell>
          <cell r="BN74">
            <v>-11598.88</v>
          </cell>
          <cell r="BO74">
            <v>-11314.5</v>
          </cell>
          <cell r="BP74">
            <v>-9508.84</v>
          </cell>
          <cell r="BQ74">
            <v>-7911.68</v>
          </cell>
          <cell r="BR74">
            <v>-7227.45</v>
          </cell>
          <cell r="BS74">
            <v>-6546.7</v>
          </cell>
          <cell r="BT74">
            <v>-11602.69</v>
          </cell>
          <cell r="BU74">
            <v>-7679.78</v>
          </cell>
          <cell r="BV74">
            <v>-9417.41</v>
          </cell>
          <cell r="BW74">
            <v>-40019.72</v>
          </cell>
          <cell r="BX74">
            <v>-23403.69</v>
          </cell>
          <cell r="BY74">
            <v>-31655.54</v>
          </cell>
          <cell r="BZ74">
            <v>-24297.25</v>
          </cell>
          <cell r="CA74">
            <v>-15616.06</v>
          </cell>
          <cell r="CB74">
            <v>-15655.27</v>
          </cell>
          <cell r="CC74">
            <v>-13872.08</v>
          </cell>
          <cell r="CD74">
            <v>-13565.74</v>
          </cell>
          <cell r="CE74">
            <v>-13841.94</v>
          </cell>
          <cell r="CF74">
            <v>-15568.16</v>
          </cell>
          <cell r="CG74">
            <v>-16398.41</v>
          </cell>
          <cell r="CH74">
            <v>-23805.57</v>
          </cell>
          <cell r="CI74">
            <v>-26258.18</v>
          </cell>
          <cell r="CJ74">
            <v>-53387.94</v>
          </cell>
          <cell r="CK74">
            <v>-48066.67</v>
          </cell>
          <cell r="CL74">
            <v>-29713.65</v>
          </cell>
          <cell r="CM74">
            <v>-37203.32</v>
          </cell>
          <cell r="CN74">
            <v>-31498.02</v>
          </cell>
          <cell r="CO74">
            <v>-26319.69</v>
          </cell>
          <cell r="CP74">
            <v>-18917.419999999998</v>
          </cell>
          <cell r="CQ74">
            <v>-32849.089999999997</v>
          </cell>
          <cell r="CR74">
            <v>-27587.54</v>
          </cell>
          <cell r="CS74">
            <v>-27818.66</v>
          </cell>
          <cell r="CT74">
            <v>-29404.71</v>
          </cell>
          <cell r="CU74">
            <v>-33557.86</v>
          </cell>
          <cell r="CV74">
            <v>-36283.24</v>
          </cell>
          <cell r="CW74">
            <v>-81376.289999999994</v>
          </cell>
          <cell r="CX74">
            <v>-36266.36</v>
          </cell>
          <cell r="CY74">
            <v>-38376.79</v>
          </cell>
          <cell r="CZ74">
            <v>-28921.69</v>
          </cell>
          <cell r="DA74">
            <v>-27113.62</v>
          </cell>
          <cell r="DB74">
            <v>-19905.77</v>
          </cell>
          <cell r="DC74">
            <v>-19896.78</v>
          </cell>
          <cell r="DD74">
            <v>-22663.759999999998</v>
          </cell>
          <cell r="DE74">
            <v>-28267.68</v>
          </cell>
          <cell r="DF74">
            <v>-38061.43</v>
          </cell>
          <cell r="DG74">
            <v>-35440.699999999997</v>
          </cell>
          <cell r="DH74">
            <v>-412574.11000000004</v>
          </cell>
        </row>
        <row r="75">
          <cell r="A75" t="str">
            <v>4830092</v>
          </cell>
          <cell r="B75" t="str">
            <v>4830092</v>
          </cell>
          <cell r="C75" t="str">
            <v>Whsl for Resale Fuel</v>
          </cell>
          <cell r="D75">
            <v>-122347.1</v>
          </cell>
          <cell r="E75">
            <v>-125397.66</v>
          </cell>
          <cell r="F75">
            <v>-83613.06</v>
          </cell>
          <cell r="G75">
            <v>-79399.5</v>
          </cell>
          <cell r="H75">
            <v>-59284.84</v>
          </cell>
          <cell r="I75">
            <v>-84221.96</v>
          </cell>
          <cell r="J75">
            <v>-53577.79</v>
          </cell>
          <cell r="K75">
            <v>-50639.37</v>
          </cell>
          <cell r="L75">
            <v>-55870.14</v>
          </cell>
          <cell r="M75">
            <v>-47384.88</v>
          </cell>
          <cell r="N75">
            <v>-55759.08</v>
          </cell>
          <cell r="O75">
            <v>-89565.43</v>
          </cell>
          <cell r="P75">
            <v>-115388.95</v>
          </cell>
          <cell r="Q75">
            <v>-122429.48</v>
          </cell>
          <cell r="R75">
            <v>-103381.17</v>
          </cell>
          <cell r="S75">
            <v>-62557.89</v>
          </cell>
          <cell r="T75">
            <v>-34815.08</v>
          </cell>
          <cell r="U75">
            <v>-40163.93</v>
          </cell>
          <cell r="V75">
            <v>-40173.25</v>
          </cell>
          <cell r="W75">
            <v>-81254.820000000007</v>
          </cell>
          <cell r="X75">
            <v>-47758.73</v>
          </cell>
          <cell r="Y75">
            <v>-61015.22</v>
          </cell>
          <cell r="Z75">
            <v>-52655.68</v>
          </cell>
          <cell r="AA75">
            <v>-70834.47</v>
          </cell>
          <cell r="AB75">
            <v>-112861.47</v>
          </cell>
          <cell r="AC75">
            <v>-144487.29999999999</v>
          </cell>
          <cell r="AD75">
            <v>-97359.34</v>
          </cell>
          <cell r="AE75">
            <v>-90351.69</v>
          </cell>
          <cell r="AF75">
            <v>-80688.27</v>
          </cell>
          <cell r="AG75">
            <v>-55803.75</v>
          </cell>
          <cell r="AH75">
            <v>-48909.17</v>
          </cell>
          <cell r="AI75">
            <v>-62932.57</v>
          </cell>
          <cell r="AJ75">
            <v>-63198.98</v>
          </cell>
          <cell r="AK75">
            <v>-80931.289999999994</v>
          </cell>
          <cell r="AL75">
            <v>-54733.84</v>
          </cell>
          <cell r="AM75">
            <v>-54630.92</v>
          </cell>
          <cell r="AN75">
            <v>-145513.70000000001</v>
          </cell>
          <cell r="AO75">
            <v>-10002.1</v>
          </cell>
          <cell r="AP75">
            <v>-130908.62</v>
          </cell>
          <cell r="AQ75">
            <v>-51360.15</v>
          </cell>
          <cell r="AR75">
            <v>-52185.55</v>
          </cell>
          <cell r="AS75">
            <v>-48094.59</v>
          </cell>
          <cell r="AT75">
            <v>-121049.34</v>
          </cell>
          <cell r="AU75">
            <v>191292.34</v>
          </cell>
          <cell r="AV75">
            <v>-259208.07</v>
          </cell>
          <cell r="AW75">
            <v>-57389.38</v>
          </cell>
          <cell r="AX75">
            <v>-89283.89</v>
          </cell>
          <cell r="AY75">
            <v>-106218.25</v>
          </cell>
          <cell r="AZ75">
            <v>-227660.9</v>
          </cell>
          <cell r="BA75">
            <v>-160197.32</v>
          </cell>
          <cell r="BB75">
            <v>-81327.55</v>
          </cell>
          <cell r="BC75">
            <v>-110521.77</v>
          </cell>
          <cell r="BD75">
            <v>-81986.16</v>
          </cell>
          <cell r="BE75">
            <v>-72924.350000000006</v>
          </cell>
          <cell r="BF75">
            <v>-59920.74</v>
          </cell>
          <cell r="BG75">
            <v>-10214.56</v>
          </cell>
          <cell r="BH75">
            <v>-42969.5</v>
          </cell>
          <cell r="BI75">
            <v>-37316.04</v>
          </cell>
          <cell r="BJ75">
            <v>-1881.49</v>
          </cell>
          <cell r="BK75">
            <v>-187698.16</v>
          </cell>
          <cell r="BL75">
            <v>-111874.25</v>
          </cell>
          <cell r="BM75">
            <v>-133724.71</v>
          </cell>
          <cell r="BN75">
            <v>-72573.84</v>
          </cell>
          <cell r="BO75">
            <v>-76351.73</v>
          </cell>
          <cell r="BP75">
            <v>-63016.02</v>
          </cell>
          <cell r="BQ75">
            <v>-52170.54</v>
          </cell>
          <cell r="BR75">
            <v>-47308.06</v>
          </cell>
          <cell r="BS75">
            <v>-36185.31</v>
          </cell>
          <cell r="BT75">
            <v>-56479.09</v>
          </cell>
          <cell r="BU75">
            <v>-41885.65</v>
          </cell>
          <cell r="BV75">
            <v>-53566.38</v>
          </cell>
          <cell r="BW75">
            <v>-237125.17</v>
          </cell>
          <cell r="BX75">
            <v>-136259.73000000001</v>
          </cell>
          <cell r="BY75">
            <v>-175838.86</v>
          </cell>
          <cell r="BZ75">
            <v>-129063.36</v>
          </cell>
          <cell r="CA75">
            <v>-81269.73</v>
          </cell>
          <cell r="CB75">
            <v>-81771.11</v>
          </cell>
          <cell r="CC75">
            <v>-71804.86</v>
          </cell>
          <cell r="CD75">
            <v>-70492.429999999993</v>
          </cell>
          <cell r="CE75">
            <v>-71847.97</v>
          </cell>
          <cell r="CF75">
            <v>-81294.41</v>
          </cell>
          <cell r="CG75">
            <v>-91336.26</v>
          </cell>
          <cell r="CH75">
            <v>-133473.60000000001</v>
          </cell>
          <cell r="CI75">
            <v>-163603.73000000001</v>
          </cell>
          <cell r="CJ75">
            <v>-272469.07</v>
          </cell>
          <cell r="CK75">
            <v>-244199.62</v>
          </cell>
          <cell r="CL75">
            <v>-168670.92</v>
          </cell>
          <cell r="CM75">
            <v>-214419.68</v>
          </cell>
          <cell r="CN75">
            <v>-171019.38</v>
          </cell>
          <cell r="CO75">
            <v>-138628.84</v>
          </cell>
          <cell r="CP75">
            <v>-100986.53</v>
          </cell>
          <cell r="CQ75">
            <v>-187822.88</v>
          </cell>
          <cell r="CR75">
            <v>-155655.59</v>
          </cell>
          <cell r="CS75">
            <v>-157095.85999999999</v>
          </cell>
          <cell r="CT75">
            <v>-166783.76</v>
          </cell>
          <cell r="CU75">
            <v>-192152.4</v>
          </cell>
          <cell r="CV75">
            <v>-225987.44</v>
          </cell>
          <cell r="CW75">
            <v>-517726.13</v>
          </cell>
          <cell r="CX75">
            <v>-225875.93</v>
          </cell>
          <cell r="CY75">
            <v>-239466.18</v>
          </cell>
          <cell r="CZ75">
            <v>-176716.76</v>
          </cell>
          <cell r="DA75">
            <v>-169443.42</v>
          </cell>
          <cell r="DB75">
            <v>-121661.68</v>
          </cell>
          <cell r="DC75">
            <v>-170700.93</v>
          </cell>
          <cell r="DD75">
            <v>-193822.02</v>
          </cell>
          <cell r="DE75">
            <v>-230336.54</v>
          </cell>
          <cell r="DF75">
            <v>-193446.06</v>
          </cell>
          <cell r="DG75">
            <v>-183053.3</v>
          </cell>
          <cell r="DH75">
            <v>-2648236.3899999997</v>
          </cell>
        </row>
        <row r="76">
          <cell r="A76" t="str">
            <v>4833091</v>
          </cell>
          <cell r="B76" t="str">
            <v>4833091</v>
          </cell>
          <cell r="C76" t="str">
            <v>Whsl for Resale Trnp</v>
          </cell>
          <cell r="D76">
            <v>-21883.94</v>
          </cell>
          <cell r="E76">
            <v>-18653.25</v>
          </cell>
          <cell r="F76">
            <v>-21064.37</v>
          </cell>
          <cell r="G76">
            <v>-18023.66</v>
          </cell>
          <cell r="H76">
            <v>-16939.95</v>
          </cell>
          <cell r="I76">
            <v>-15589.49</v>
          </cell>
          <cell r="J76">
            <v>-15668.39</v>
          </cell>
          <cell r="K76">
            <v>-15255.51</v>
          </cell>
          <cell r="L76">
            <v>-14564.19</v>
          </cell>
          <cell r="M76">
            <v>-17293.3</v>
          </cell>
          <cell r="N76">
            <v>-19693.8</v>
          </cell>
          <cell r="O76">
            <v>-20331.84</v>
          </cell>
          <cell r="P76">
            <v>-22601.96</v>
          </cell>
          <cell r="Q76">
            <v>-21078.83</v>
          </cell>
          <cell r="R76">
            <v>-20184.12</v>
          </cell>
          <cell r="S76">
            <v>-17822.34</v>
          </cell>
          <cell r="T76">
            <v>-17403.689999999999</v>
          </cell>
          <cell r="U76">
            <v>-15810.03</v>
          </cell>
          <cell r="V76">
            <v>-16304.6</v>
          </cell>
          <cell r="W76">
            <v>-16134.22</v>
          </cell>
          <cell r="X76">
            <v>-15611.63</v>
          </cell>
          <cell r="Y76">
            <v>-18169.47</v>
          </cell>
          <cell r="Z76">
            <v>-18110.89</v>
          </cell>
          <cell r="AA76">
            <v>-19573.169999999998</v>
          </cell>
          <cell r="AB76">
            <v>-24128.63</v>
          </cell>
          <cell r="AC76">
            <v>-22204.05</v>
          </cell>
          <cell r="AD76">
            <v>-20705.21</v>
          </cell>
          <cell r="AE76">
            <v>-19513.43</v>
          </cell>
          <cell r="AF76">
            <v>-18266.14</v>
          </cell>
          <cell r="AG76">
            <v>-16656.59</v>
          </cell>
          <cell r="AH76">
            <v>-16731.45</v>
          </cell>
          <cell r="AI76">
            <v>-16264.15</v>
          </cell>
          <cell r="AJ76">
            <v>-15910.62</v>
          </cell>
          <cell r="AK76">
            <v>-16984.830000000002</v>
          </cell>
          <cell r="AL76">
            <v>-19334.95</v>
          </cell>
          <cell r="AM76">
            <v>-20919.55</v>
          </cell>
          <cell r="AN76">
            <v>-22685.19</v>
          </cell>
          <cell r="AO76">
            <v>-19221.09</v>
          </cell>
          <cell r="AP76">
            <v>-22663.53</v>
          </cell>
          <cell r="AQ76">
            <v>-18990.38</v>
          </cell>
          <cell r="AR76">
            <v>-17901.71</v>
          </cell>
          <cell r="AS76">
            <v>-16661.64</v>
          </cell>
          <cell r="AT76">
            <v>-18374.669999999998</v>
          </cell>
          <cell r="AU76">
            <v>-15617.18</v>
          </cell>
          <cell r="AV76">
            <v>-14843.49</v>
          </cell>
          <cell r="AW76">
            <v>-19111.46</v>
          </cell>
          <cell r="AX76">
            <v>-20227.91</v>
          </cell>
          <cell r="AY76">
            <v>-24379.42</v>
          </cell>
          <cell r="AZ76">
            <v>-25354.05</v>
          </cell>
          <cell r="BA76">
            <v>-19653.240000000002</v>
          </cell>
          <cell r="BB76">
            <v>-23521.52</v>
          </cell>
          <cell r="BC76">
            <v>-20175.22</v>
          </cell>
          <cell r="BD76">
            <v>-18808.150000000001</v>
          </cell>
          <cell r="BE76">
            <v>-17332.580000000002</v>
          </cell>
          <cell r="BF76">
            <v>-17791.14</v>
          </cell>
          <cell r="BG76">
            <v>-16456.59</v>
          </cell>
          <cell r="BH76">
            <v>-16115.17</v>
          </cell>
          <cell r="BI76">
            <v>-18339.5</v>
          </cell>
          <cell r="BJ76">
            <v>-26818.400000000001</v>
          </cell>
          <cell r="BK76">
            <v>-29473.200000000001</v>
          </cell>
          <cell r="BL76">
            <v>-30389.88</v>
          </cell>
          <cell r="BM76">
            <v>-26515.14</v>
          </cell>
          <cell r="BN76">
            <v>-28336.85</v>
          </cell>
          <cell r="BO76">
            <v>-25632.959999999999</v>
          </cell>
          <cell r="BP76">
            <v>-23177.8</v>
          </cell>
          <cell r="BQ76">
            <v>-22277.919999999998</v>
          </cell>
          <cell r="BR76">
            <v>-22006.6</v>
          </cell>
          <cell r="BS76">
            <v>-21749.7</v>
          </cell>
          <cell r="BT76">
            <v>-20855.490000000002</v>
          </cell>
          <cell r="BU76">
            <v>-22983.360000000001</v>
          </cell>
          <cell r="BV76">
            <v>-24254.95</v>
          </cell>
          <cell r="BW76">
            <v>-29401.4</v>
          </cell>
          <cell r="BX76">
            <v>-28762.09</v>
          </cell>
          <cell r="BY76">
            <v>-26980.71</v>
          </cell>
          <cell r="BZ76">
            <v>-22578.97</v>
          </cell>
          <cell r="CA76">
            <v>-17452.13</v>
          </cell>
          <cell r="CB76">
            <v>-19436.509999999998</v>
          </cell>
          <cell r="CC76">
            <v>-19704.009999999998</v>
          </cell>
          <cell r="CD76">
            <v>-18783.560000000001</v>
          </cell>
          <cell r="CE76">
            <v>-19300.73</v>
          </cell>
          <cell r="CF76">
            <v>-19422.32</v>
          </cell>
          <cell r="CG76">
            <v>-22695.58</v>
          </cell>
          <cell r="CH76">
            <v>-20343.810000000001</v>
          </cell>
          <cell r="CI76">
            <v>-33321.230000000003</v>
          </cell>
          <cell r="CJ76">
            <v>-23913.52</v>
          </cell>
          <cell r="CK76">
            <v>-30235.87</v>
          </cell>
          <cell r="CL76">
            <v>-32172.63</v>
          </cell>
          <cell r="CM76">
            <v>-33513.31</v>
          </cell>
          <cell r="CN76">
            <v>-27958.95</v>
          </cell>
          <cell r="CO76">
            <v>-18843.16</v>
          </cell>
          <cell r="CP76">
            <v>-20378.8</v>
          </cell>
          <cell r="CQ76">
            <v>-21184.400000000001</v>
          </cell>
          <cell r="CR76">
            <v>-19744.060000000001</v>
          </cell>
          <cell r="CS76">
            <v>-21823.15</v>
          </cell>
          <cell r="CT76">
            <v>-25095.11</v>
          </cell>
          <cell r="CU76">
            <v>-25768.59</v>
          </cell>
          <cell r="CV76">
            <v>-28753.27</v>
          </cell>
          <cell r="CW76">
            <v>-18611.599999999999</v>
          </cell>
          <cell r="CX76">
            <v>-33443.22</v>
          </cell>
          <cell r="CY76">
            <v>-27248.54</v>
          </cell>
          <cell r="CZ76">
            <v>-22448.37</v>
          </cell>
          <cell r="DA76">
            <v>-19332.48</v>
          </cell>
          <cell r="DB76">
            <v>-17835.509999999998</v>
          </cell>
          <cell r="DC76">
            <v>-19021.990000000002</v>
          </cell>
          <cell r="DD76">
            <v>-18212.13</v>
          </cell>
          <cell r="DE76">
            <v>-20767.849999999999</v>
          </cell>
          <cell r="DF76">
            <v>-20890.07</v>
          </cell>
          <cell r="DG76">
            <v>-29583.57</v>
          </cell>
          <cell r="DH76">
            <v>-276148.60000000003</v>
          </cell>
        </row>
        <row r="77">
          <cell r="A77" t="str">
            <v>4870000</v>
          </cell>
          <cell r="B77" t="str">
            <v>4870000</v>
          </cell>
          <cell r="C77" t="str">
            <v>Forfeited Discounts</v>
          </cell>
          <cell r="D77">
            <v>-87247.01</v>
          </cell>
          <cell r="E77">
            <v>-96255.7</v>
          </cell>
          <cell r="F77">
            <v>-92056.61</v>
          </cell>
          <cell r="G77">
            <v>-89213.83</v>
          </cell>
          <cell r="H77">
            <v>-77492.5</v>
          </cell>
          <cell r="I77">
            <v>-61370.03</v>
          </cell>
          <cell r="J77">
            <v>-83041.899999999994</v>
          </cell>
          <cell r="K77">
            <v>-63714.47</v>
          </cell>
          <cell r="L77">
            <v>-66933.72</v>
          </cell>
          <cell r="M77">
            <v>-65930.600000000006</v>
          </cell>
          <cell r="N77">
            <v>-55364.42</v>
          </cell>
          <cell r="O77">
            <v>-84632.61</v>
          </cell>
          <cell r="P77">
            <v>-87423.9</v>
          </cell>
          <cell r="Q77">
            <v>-89152.35</v>
          </cell>
          <cell r="R77">
            <v>-84691.04</v>
          </cell>
          <cell r="S77">
            <v>-80392.259999999995</v>
          </cell>
          <cell r="T77">
            <v>-72940.820000000007</v>
          </cell>
          <cell r="U77">
            <v>-61978.98</v>
          </cell>
          <cell r="V77">
            <v>-67374.3</v>
          </cell>
          <cell r="W77">
            <v>-65541.210000000006</v>
          </cell>
          <cell r="X77">
            <v>-64531.85</v>
          </cell>
          <cell r="Y77">
            <v>-67554.8</v>
          </cell>
          <cell r="Z77">
            <v>-55547.86</v>
          </cell>
          <cell r="AA77">
            <v>-85259.37</v>
          </cell>
          <cell r="AB77">
            <v>-83397.03</v>
          </cell>
          <cell r="AC77">
            <v>-83231.009999999995</v>
          </cell>
          <cell r="AD77">
            <v>-101891.83</v>
          </cell>
          <cell r="AE77">
            <v>-82907.240000000005</v>
          </cell>
          <cell r="AF77">
            <v>-74399.78</v>
          </cell>
          <cell r="AG77">
            <v>-88287.29</v>
          </cell>
          <cell r="AH77">
            <v>-71623.55</v>
          </cell>
          <cell r="AI77">
            <v>-67213.05</v>
          </cell>
          <cell r="AJ77">
            <v>-66750.03</v>
          </cell>
          <cell r="AK77">
            <v>-72295.350000000006</v>
          </cell>
          <cell r="AL77">
            <v>-72659.210000000006</v>
          </cell>
          <cell r="AM77">
            <v>-77624.399999999994</v>
          </cell>
          <cell r="AN77">
            <v>-59316.46</v>
          </cell>
          <cell r="AO77">
            <v>-151333.35999999999</v>
          </cell>
          <cell r="AP77">
            <v>-128907.76</v>
          </cell>
          <cell r="AQ77">
            <v>-124259.41</v>
          </cell>
          <cell r="AR77">
            <v>-124490.84</v>
          </cell>
          <cell r="AS77">
            <v>-113303.96</v>
          </cell>
          <cell r="AT77">
            <v>-96809.73</v>
          </cell>
          <cell r="AU77">
            <v>-85436.47</v>
          </cell>
          <cell r="AV77">
            <v>-58089.18</v>
          </cell>
          <cell r="AW77">
            <v>-87568.86</v>
          </cell>
          <cell r="AX77">
            <v>-92341.759999999995</v>
          </cell>
          <cell r="AY77">
            <v>-100712.94</v>
          </cell>
          <cell r="AZ77">
            <v>-136915.21</v>
          </cell>
          <cell r="BA77">
            <v>-152350.26</v>
          </cell>
          <cell r="BB77">
            <v>-135306.41</v>
          </cell>
          <cell r="BC77">
            <v>-120362.92</v>
          </cell>
          <cell r="BD77">
            <v>-107479.67999999999</v>
          </cell>
          <cell r="BE77">
            <v>-108178.03</v>
          </cell>
          <cell r="BF77">
            <v>-81021.48</v>
          </cell>
          <cell r="BG77">
            <v>-93145.66</v>
          </cell>
          <cell r="BH77">
            <v>-93797.8</v>
          </cell>
          <cell r="BI77">
            <v>-92860.57</v>
          </cell>
          <cell r="BJ77">
            <v>-92318.16</v>
          </cell>
          <cell r="BK77">
            <v>-102418.29</v>
          </cell>
          <cell r="BL77">
            <v>-122474.71</v>
          </cell>
          <cell r="BM77">
            <v>-104745.17</v>
          </cell>
          <cell r="BN77">
            <v>-101191.82</v>
          </cell>
          <cell r="BO77">
            <v>-90192.52</v>
          </cell>
          <cell r="BP77">
            <v>-95436.56</v>
          </cell>
          <cell r="BQ77">
            <v>-81788.81</v>
          </cell>
          <cell r="BR77">
            <v>-79095.179999999993</v>
          </cell>
          <cell r="BS77">
            <v>-82562.100000000006</v>
          </cell>
          <cell r="BT77">
            <v>-80215.199999999997</v>
          </cell>
          <cell r="BU77">
            <v>-78789.2</v>
          </cell>
          <cell r="BV77">
            <v>-75675.8</v>
          </cell>
          <cell r="BW77">
            <v>-86066.92</v>
          </cell>
          <cell r="BX77">
            <v>-109351.41</v>
          </cell>
          <cell r="BY77">
            <v>-96150.71</v>
          </cell>
          <cell r="BZ77">
            <v>-95243.34</v>
          </cell>
          <cell r="CA77">
            <v>-125154.01</v>
          </cell>
          <cell r="CB77">
            <v>-125404.42</v>
          </cell>
          <cell r="CC77">
            <v>-118230.31</v>
          </cell>
          <cell r="CD77">
            <v>-111280.65</v>
          </cell>
          <cell r="CE77">
            <v>-107101.89</v>
          </cell>
          <cell r="CF77">
            <v>-77071.8</v>
          </cell>
          <cell r="CG77">
            <v>-100031.24</v>
          </cell>
          <cell r="CH77">
            <v>-96374.31</v>
          </cell>
          <cell r="CI77">
            <v>-96654.77</v>
          </cell>
          <cell r="CJ77">
            <v>-119228.77</v>
          </cell>
          <cell r="CK77">
            <v>-130606.05</v>
          </cell>
          <cell r="CL77">
            <v>-133259.43</v>
          </cell>
          <cell r="CM77">
            <v>-103588.7</v>
          </cell>
          <cell r="CN77">
            <v>-116765.87</v>
          </cell>
          <cell r="CO77">
            <v>-114304.89</v>
          </cell>
          <cell r="CP77">
            <v>-88348.87</v>
          </cell>
          <cell r="CQ77">
            <v>-97463.65</v>
          </cell>
          <cell r="CR77">
            <v>-98512.4</v>
          </cell>
          <cell r="CS77">
            <v>-86061.9</v>
          </cell>
          <cell r="CT77">
            <v>-95425.25</v>
          </cell>
          <cell r="CU77">
            <v>-112683.27</v>
          </cell>
          <cell r="CV77">
            <v>-129742.77</v>
          </cell>
          <cell r="CW77">
            <v>-126915.26</v>
          </cell>
          <cell r="CX77">
            <v>-129695.91</v>
          </cell>
          <cell r="CY77">
            <v>-110652.56</v>
          </cell>
          <cell r="CZ77">
            <v>-113565.37</v>
          </cell>
          <cell r="DA77">
            <v>-112833.55</v>
          </cell>
          <cell r="DB77">
            <v>-108117.42</v>
          </cell>
          <cell r="DC77">
            <v>-105940.48</v>
          </cell>
          <cell r="DD77">
            <v>-117793.88</v>
          </cell>
          <cell r="DE77">
            <v>-111403.97</v>
          </cell>
          <cell r="DF77">
            <v>-118920.17</v>
          </cell>
          <cell r="DG77">
            <v>-118443.07</v>
          </cell>
          <cell r="DH77">
            <v>-1404024.4100000001</v>
          </cell>
        </row>
        <row r="78">
          <cell r="A78" t="str">
            <v>4880101</v>
          </cell>
          <cell r="B78" t="str">
            <v>4880101</v>
          </cell>
          <cell r="C78" t="str">
            <v>Res ConnectReconnect</v>
          </cell>
          <cell r="D78">
            <v>-168080</v>
          </cell>
          <cell r="E78">
            <v>-178935</v>
          </cell>
          <cell r="F78">
            <v>-161149</v>
          </cell>
          <cell r="G78">
            <v>-149500</v>
          </cell>
          <cell r="H78">
            <v>-133854</v>
          </cell>
          <cell r="I78">
            <v>-156498</v>
          </cell>
          <cell r="J78">
            <v>-156827</v>
          </cell>
          <cell r="K78">
            <v>-156588</v>
          </cell>
          <cell r="L78">
            <v>-164014</v>
          </cell>
          <cell r="M78">
            <v>-184115</v>
          </cell>
          <cell r="N78">
            <v>-194620</v>
          </cell>
          <cell r="O78">
            <v>-167467</v>
          </cell>
          <cell r="P78">
            <v>-148441</v>
          </cell>
          <cell r="Q78">
            <v>-172306</v>
          </cell>
          <cell r="R78">
            <v>-151190</v>
          </cell>
          <cell r="S78">
            <v>-133400</v>
          </cell>
          <cell r="T78">
            <v>-134342</v>
          </cell>
          <cell r="U78">
            <v>-148043</v>
          </cell>
          <cell r="V78">
            <v>-144408</v>
          </cell>
          <cell r="W78">
            <v>-159878.5</v>
          </cell>
          <cell r="X78">
            <v>-147367</v>
          </cell>
          <cell r="Y78">
            <v>-168114</v>
          </cell>
          <cell r="Z78">
            <v>-165254</v>
          </cell>
          <cell r="AA78">
            <v>-159111</v>
          </cell>
          <cell r="AB78">
            <v>-140982</v>
          </cell>
          <cell r="AC78">
            <v>-152279</v>
          </cell>
          <cell r="AD78">
            <v>-144915</v>
          </cell>
          <cell r="AE78">
            <v>-126819</v>
          </cell>
          <cell r="AF78">
            <v>-140271</v>
          </cell>
          <cell r="AG78">
            <v>-139381</v>
          </cell>
          <cell r="AH78">
            <v>-147642.12</v>
          </cell>
          <cell r="AI78">
            <v>-152780</v>
          </cell>
          <cell r="AJ78">
            <v>-142345</v>
          </cell>
          <cell r="AK78">
            <v>-147621</v>
          </cell>
          <cell r="AL78">
            <v>-168511</v>
          </cell>
          <cell r="AM78">
            <v>-166487.95000000001</v>
          </cell>
          <cell r="AN78">
            <v>-183513.75</v>
          </cell>
          <cell r="AO78">
            <v>-200948</v>
          </cell>
          <cell r="AP78">
            <v>-297045</v>
          </cell>
          <cell r="AQ78">
            <v>-290126</v>
          </cell>
          <cell r="AR78">
            <v>-343949</v>
          </cell>
          <cell r="AS78">
            <v>-360254</v>
          </cell>
          <cell r="AT78">
            <v>-312453.46999999997</v>
          </cell>
          <cell r="AU78">
            <v>-339317</v>
          </cell>
          <cell r="AV78">
            <v>-212107.83</v>
          </cell>
          <cell r="AW78">
            <v>-304069</v>
          </cell>
          <cell r="AX78">
            <v>-305808</v>
          </cell>
          <cell r="AY78">
            <v>-288234</v>
          </cell>
          <cell r="AZ78">
            <v>-293501</v>
          </cell>
          <cell r="BA78">
            <v>-300335</v>
          </cell>
          <cell r="BB78">
            <v>-357282</v>
          </cell>
          <cell r="BC78">
            <v>-326040</v>
          </cell>
          <cell r="BD78">
            <v>-337061</v>
          </cell>
          <cell r="BE78">
            <v>-348710</v>
          </cell>
          <cell r="BF78">
            <v>-353783</v>
          </cell>
          <cell r="BG78">
            <v>-371700</v>
          </cell>
          <cell r="BH78">
            <v>-285574.34000000003</v>
          </cell>
          <cell r="BI78">
            <v>-321772.44</v>
          </cell>
          <cell r="BJ78">
            <v>-306494</v>
          </cell>
          <cell r="BK78">
            <v>-287027.34000000003</v>
          </cell>
          <cell r="BL78">
            <v>-363135.5</v>
          </cell>
          <cell r="BM78">
            <v>-346695</v>
          </cell>
          <cell r="BN78">
            <v>-377137</v>
          </cell>
          <cell r="BO78">
            <v>-347337</v>
          </cell>
          <cell r="BP78">
            <v>-352342</v>
          </cell>
          <cell r="BQ78">
            <v>-248049</v>
          </cell>
          <cell r="BR78">
            <v>-261755</v>
          </cell>
          <cell r="BS78">
            <v>-269635</v>
          </cell>
          <cell r="BT78">
            <v>-220137</v>
          </cell>
          <cell r="BU78">
            <v>-272617</v>
          </cell>
          <cell r="BV78">
            <v>-237675</v>
          </cell>
          <cell r="BW78">
            <v>-221017</v>
          </cell>
          <cell r="BX78">
            <v>-231138.39</v>
          </cell>
          <cell r="BY78">
            <v>-243915</v>
          </cell>
          <cell r="BZ78">
            <v>-235889</v>
          </cell>
          <cell r="CA78">
            <v>-159902</v>
          </cell>
          <cell r="CB78">
            <v>-158420</v>
          </cell>
          <cell r="CC78">
            <v>-167550</v>
          </cell>
          <cell r="CD78">
            <v>-172082</v>
          </cell>
          <cell r="CE78">
            <v>-166410</v>
          </cell>
          <cell r="CF78">
            <v>-182935</v>
          </cell>
          <cell r="CG78">
            <v>-216865</v>
          </cell>
          <cell r="CH78">
            <v>-179693.35</v>
          </cell>
          <cell r="CI78">
            <v>-209355</v>
          </cell>
          <cell r="CJ78">
            <v>-250411</v>
          </cell>
          <cell r="CK78">
            <v>-268527.94</v>
          </cell>
          <cell r="CL78">
            <v>-301065</v>
          </cell>
          <cell r="CM78">
            <v>-257501.5</v>
          </cell>
          <cell r="CN78">
            <v>-255770</v>
          </cell>
          <cell r="CO78">
            <v>-272964.5</v>
          </cell>
          <cell r="CP78">
            <v>-252084</v>
          </cell>
          <cell r="CQ78">
            <v>-281769</v>
          </cell>
          <cell r="CR78">
            <v>-267606.5</v>
          </cell>
          <cell r="CS78">
            <v>-285745</v>
          </cell>
          <cell r="CT78">
            <v>-290448.5</v>
          </cell>
          <cell r="CU78">
            <v>-247672</v>
          </cell>
          <cell r="CV78">
            <v>-259798</v>
          </cell>
          <cell r="CW78">
            <v>-304454</v>
          </cell>
          <cell r="CX78">
            <v>-333004</v>
          </cell>
          <cell r="CY78">
            <v>-304855</v>
          </cell>
          <cell r="CZ78">
            <v>-285831</v>
          </cell>
          <cell r="DA78">
            <v>-335489.5</v>
          </cell>
          <cell r="DB78">
            <v>-305636.5</v>
          </cell>
          <cell r="DC78">
            <v>-331911.5</v>
          </cell>
          <cell r="DD78">
            <v>-288352</v>
          </cell>
          <cell r="DE78">
            <v>-341053.5</v>
          </cell>
          <cell r="DF78">
            <v>-344285.5</v>
          </cell>
          <cell r="DG78">
            <v>-288225.5</v>
          </cell>
          <cell r="DH78">
            <v>-3722896</v>
          </cell>
        </row>
        <row r="79">
          <cell r="A79" t="str">
            <v>4880102</v>
          </cell>
          <cell r="B79" t="str">
            <v>4880102</v>
          </cell>
          <cell r="C79" t="str">
            <v>Com ConnectReconnect</v>
          </cell>
          <cell r="D79">
            <v>-17516.5</v>
          </cell>
          <cell r="E79">
            <v>-15855</v>
          </cell>
          <cell r="F79">
            <v>-14550</v>
          </cell>
          <cell r="G79">
            <v>-17670</v>
          </cell>
          <cell r="H79">
            <v>-14250</v>
          </cell>
          <cell r="I79">
            <v>-17025</v>
          </cell>
          <cell r="J79">
            <v>-13380</v>
          </cell>
          <cell r="K79">
            <v>-16117.5</v>
          </cell>
          <cell r="L79">
            <v>-18187.5</v>
          </cell>
          <cell r="M79">
            <v>-19042.5</v>
          </cell>
          <cell r="N79">
            <v>-21075</v>
          </cell>
          <cell r="O79">
            <v>-14730</v>
          </cell>
          <cell r="P79">
            <v>-13980</v>
          </cell>
          <cell r="Q79">
            <v>-15862.5</v>
          </cell>
          <cell r="R79">
            <v>-12984.5</v>
          </cell>
          <cell r="S79">
            <v>-12375</v>
          </cell>
          <cell r="T79">
            <v>-13155</v>
          </cell>
          <cell r="U79">
            <v>-12797</v>
          </cell>
          <cell r="V79">
            <v>-14212.5</v>
          </cell>
          <cell r="W79">
            <v>-13930</v>
          </cell>
          <cell r="X79">
            <v>-14947.5</v>
          </cell>
          <cell r="Y79">
            <v>-17850</v>
          </cell>
          <cell r="Z79">
            <v>-16935</v>
          </cell>
          <cell r="AA79">
            <v>-14180</v>
          </cell>
          <cell r="AB79">
            <v>-14647.5</v>
          </cell>
          <cell r="AC79">
            <v>-14212.5</v>
          </cell>
          <cell r="AD79">
            <v>-12669.5</v>
          </cell>
          <cell r="AE79">
            <v>-12337.5</v>
          </cell>
          <cell r="AF79">
            <v>-13887.5</v>
          </cell>
          <cell r="AG79">
            <v>-15191.5</v>
          </cell>
          <cell r="AH79">
            <v>-14337</v>
          </cell>
          <cell r="AI79">
            <v>-14110</v>
          </cell>
          <cell r="AJ79">
            <v>-12405</v>
          </cell>
          <cell r="AK79">
            <v>-15862.5</v>
          </cell>
          <cell r="AL79">
            <v>-17732</v>
          </cell>
          <cell r="AM79">
            <v>-16761</v>
          </cell>
          <cell r="AN79">
            <v>-13188</v>
          </cell>
          <cell r="AO79">
            <v>-15778</v>
          </cell>
          <cell r="AP79">
            <v>-27329.5</v>
          </cell>
          <cell r="AQ79">
            <v>-23577.5</v>
          </cell>
          <cell r="AR79">
            <v>-24875.5</v>
          </cell>
          <cell r="AS79">
            <v>-28866.5</v>
          </cell>
          <cell r="AT79">
            <v>-24171</v>
          </cell>
          <cell r="AU79">
            <v>-29294.5</v>
          </cell>
          <cell r="AV79">
            <v>-12828</v>
          </cell>
          <cell r="AW79">
            <v>-27715</v>
          </cell>
          <cell r="AX79">
            <v>-18998</v>
          </cell>
          <cell r="AY79">
            <v>-21020</v>
          </cell>
          <cell r="AZ79">
            <v>-31608.5</v>
          </cell>
          <cell r="BA79">
            <v>-20799</v>
          </cell>
          <cell r="BB79">
            <v>-28179.5</v>
          </cell>
          <cell r="BC79">
            <v>-27918.5</v>
          </cell>
          <cell r="BD79">
            <v>-23689</v>
          </cell>
          <cell r="BE79">
            <v>-22846.5</v>
          </cell>
          <cell r="BF79">
            <v>-24395</v>
          </cell>
          <cell r="BG79">
            <v>-26008</v>
          </cell>
          <cell r="BH79">
            <v>-22683.5</v>
          </cell>
          <cell r="BI79">
            <v>-25803</v>
          </cell>
          <cell r="BJ79">
            <v>-22844</v>
          </cell>
          <cell r="BK79">
            <v>-23790.5</v>
          </cell>
          <cell r="BL79">
            <v>-61154</v>
          </cell>
          <cell r="BM79">
            <v>-40440</v>
          </cell>
          <cell r="BN79">
            <v>-43447.5</v>
          </cell>
          <cell r="BO79">
            <v>-38340.5</v>
          </cell>
          <cell r="BP79">
            <v>-34620.5</v>
          </cell>
          <cell r="BQ79">
            <v>-26237</v>
          </cell>
          <cell r="BR79">
            <v>-24429.5</v>
          </cell>
          <cell r="BS79">
            <v>-26019</v>
          </cell>
          <cell r="BT79">
            <v>-25670</v>
          </cell>
          <cell r="BU79">
            <v>-30997.5</v>
          </cell>
          <cell r="BV79">
            <v>-29567.5</v>
          </cell>
          <cell r="BW79">
            <v>-24460</v>
          </cell>
          <cell r="BX79">
            <v>-22442.5</v>
          </cell>
          <cell r="BY79">
            <v>-24205</v>
          </cell>
          <cell r="BZ79">
            <v>-17322.5</v>
          </cell>
          <cell r="CA79">
            <v>-10350</v>
          </cell>
          <cell r="CB79">
            <v>-16550</v>
          </cell>
          <cell r="CC79">
            <v>-16727.5</v>
          </cell>
          <cell r="CD79">
            <v>-14140</v>
          </cell>
          <cell r="CE79">
            <v>-15180</v>
          </cell>
          <cell r="CF79">
            <v>-20555</v>
          </cell>
          <cell r="CG79">
            <v>-30920</v>
          </cell>
          <cell r="CH79">
            <v>-24545</v>
          </cell>
          <cell r="CI79">
            <v>-23605</v>
          </cell>
          <cell r="CJ79">
            <v>-25530</v>
          </cell>
          <cell r="CK79">
            <v>-22975</v>
          </cell>
          <cell r="CL79">
            <v>-28900</v>
          </cell>
          <cell r="CM79">
            <v>-19210</v>
          </cell>
          <cell r="CN79">
            <v>-22975</v>
          </cell>
          <cell r="CO79">
            <v>-29920</v>
          </cell>
          <cell r="CP79">
            <v>-25168</v>
          </cell>
          <cell r="CQ79">
            <v>-28715</v>
          </cell>
          <cell r="CR79">
            <v>-28615</v>
          </cell>
          <cell r="CS79">
            <v>-28840</v>
          </cell>
          <cell r="CT79">
            <v>-23448</v>
          </cell>
          <cell r="CU79">
            <v>-23415</v>
          </cell>
          <cell r="CV79">
            <v>-22665</v>
          </cell>
          <cell r="CW79">
            <v>-24400</v>
          </cell>
          <cell r="CX79">
            <v>-29760</v>
          </cell>
          <cell r="CY79">
            <v>-29180</v>
          </cell>
          <cell r="CZ79">
            <v>-27168</v>
          </cell>
          <cell r="DA79">
            <v>-25728</v>
          </cell>
          <cell r="DB79">
            <v>-20145</v>
          </cell>
          <cell r="DC79">
            <v>-24640</v>
          </cell>
          <cell r="DD79">
            <v>-23574</v>
          </cell>
          <cell r="DE79">
            <v>-25920</v>
          </cell>
          <cell r="DF79">
            <v>-28640</v>
          </cell>
          <cell r="DG79">
            <v>-21299</v>
          </cell>
          <cell r="DH79">
            <v>-303119</v>
          </cell>
        </row>
        <row r="80">
          <cell r="A80" t="str">
            <v>4880103</v>
          </cell>
          <cell r="B80" t="str">
            <v>4880103</v>
          </cell>
          <cell r="C80" t="str">
            <v>MiscSv-Change Out</v>
          </cell>
          <cell r="D80">
            <v>-55046</v>
          </cell>
          <cell r="E80">
            <v>-58632</v>
          </cell>
          <cell r="F80">
            <v>-68043</v>
          </cell>
          <cell r="G80">
            <v>-67928</v>
          </cell>
          <cell r="H80">
            <v>-66640</v>
          </cell>
          <cell r="I80">
            <v>-77989</v>
          </cell>
          <cell r="J80">
            <v>-77028</v>
          </cell>
          <cell r="K80">
            <v>-72091</v>
          </cell>
          <cell r="L80">
            <v>-69972</v>
          </cell>
          <cell r="M80">
            <v>-75273</v>
          </cell>
          <cell r="N80">
            <v>-60711.95</v>
          </cell>
          <cell r="O80">
            <v>-65668</v>
          </cell>
          <cell r="P80">
            <v>-54294.05</v>
          </cell>
          <cell r="Q80">
            <v>-62698</v>
          </cell>
          <cell r="R80">
            <v>-74730</v>
          </cell>
          <cell r="S80">
            <v>-70448</v>
          </cell>
          <cell r="T80">
            <v>-82731.22</v>
          </cell>
          <cell r="U80">
            <v>-89855</v>
          </cell>
          <cell r="V80">
            <v>-82793</v>
          </cell>
          <cell r="W80">
            <v>-85635</v>
          </cell>
          <cell r="X80">
            <v>-72514</v>
          </cell>
          <cell r="Y80">
            <v>-67458</v>
          </cell>
          <cell r="Z80">
            <v>-67623</v>
          </cell>
          <cell r="AA80">
            <v>-70778.210000000006</v>
          </cell>
          <cell r="AB80">
            <v>-57969</v>
          </cell>
          <cell r="AC80">
            <v>-68695.47</v>
          </cell>
          <cell r="AD80">
            <v>-87086</v>
          </cell>
          <cell r="AE80">
            <v>-79492</v>
          </cell>
          <cell r="AF80">
            <v>-89186</v>
          </cell>
          <cell r="AG80">
            <v>-90160</v>
          </cell>
          <cell r="AH80">
            <v>-98396.77</v>
          </cell>
          <cell r="AI80">
            <v>-84289</v>
          </cell>
          <cell r="AJ80">
            <v>-80548</v>
          </cell>
          <cell r="AK80">
            <v>-75740</v>
          </cell>
          <cell r="AL80">
            <v>-77694</v>
          </cell>
          <cell r="AM80">
            <v>-71459</v>
          </cell>
          <cell r="AN80">
            <v>0</v>
          </cell>
          <cell r="AO80">
            <v>0</v>
          </cell>
          <cell r="AP80">
            <v>0</v>
          </cell>
          <cell r="AQ80">
            <v>0</v>
          </cell>
          <cell r="AR80">
            <v>0</v>
          </cell>
          <cell r="AS80">
            <v>0</v>
          </cell>
          <cell r="AT80">
            <v>0</v>
          </cell>
          <cell r="AU80">
            <v>0</v>
          </cell>
          <cell r="AV80">
            <v>0</v>
          </cell>
          <cell r="AZ80">
            <v>0</v>
          </cell>
          <cell r="BA80">
            <v>0</v>
          </cell>
          <cell r="BB80">
            <v>0</v>
          </cell>
          <cell r="BC80">
            <v>0</v>
          </cell>
          <cell r="BD80">
            <v>0</v>
          </cell>
          <cell r="BE80">
            <v>0</v>
          </cell>
          <cell r="BF80">
            <v>0</v>
          </cell>
          <cell r="BG80">
            <v>0</v>
          </cell>
          <cell r="BH80">
            <v>0</v>
          </cell>
          <cell r="BI80">
            <v>0</v>
          </cell>
          <cell r="BJ80">
            <v>-29736</v>
          </cell>
          <cell r="BK80">
            <v>224</v>
          </cell>
          <cell r="BL80">
            <v>56</v>
          </cell>
          <cell r="BM80">
            <v>28</v>
          </cell>
          <cell r="BN80">
            <v>0</v>
          </cell>
          <cell r="BO80">
            <v>0</v>
          </cell>
          <cell r="BP80">
            <v>-18424</v>
          </cell>
          <cell r="BQ80">
            <v>-100128</v>
          </cell>
          <cell r="BR80">
            <v>-105896</v>
          </cell>
          <cell r="BS80">
            <v>-104356</v>
          </cell>
          <cell r="BT80">
            <v>-80396</v>
          </cell>
          <cell r="BU80">
            <v>-89516</v>
          </cell>
          <cell r="BV80">
            <v>-82320</v>
          </cell>
          <cell r="BW80">
            <v>-94388</v>
          </cell>
          <cell r="BX80">
            <v>-80024</v>
          </cell>
          <cell r="BY80">
            <v>-78456</v>
          </cell>
          <cell r="BZ80">
            <v>-95088</v>
          </cell>
          <cell r="CA80">
            <v>-85288</v>
          </cell>
          <cell r="CB80">
            <v>-88291.13</v>
          </cell>
          <cell r="CC80">
            <v>-116256</v>
          </cell>
          <cell r="CD80">
            <v>-141260</v>
          </cell>
          <cell r="CE80">
            <v>-125272</v>
          </cell>
          <cell r="CF80">
            <v>-121100</v>
          </cell>
          <cell r="CG80">
            <v>-124768</v>
          </cell>
          <cell r="CH80">
            <v>-110796</v>
          </cell>
          <cell r="CI80">
            <v>-132216</v>
          </cell>
          <cell r="CJ80">
            <v>-79856</v>
          </cell>
          <cell r="CK80">
            <v>-90984</v>
          </cell>
          <cell r="CL80">
            <v>-113412</v>
          </cell>
          <cell r="CM80">
            <v>-118918.68</v>
          </cell>
          <cell r="CN80">
            <v>-115248</v>
          </cell>
          <cell r="CO80">
            <v>-128152</v>
          </cell>
          <cell r="CP80">
            <v>-105236</v>
          </cell>
          <cell r="CQ80">
            <v>-110816</v>
          </cell>
          <cell r="CR80">
            <v>-95776</v>
          </cell>
          <cell r="CS80">
            <v>-99836</v>
          </cell>
          <cell r="CT80">
            <v>-97440</v>
          </cell>
          <cell r="CU80">
            <v>-110616</v>
          </cell>
          <cell r="CV80">
            <v>-91416</v>
          </cell>
          <cell r="CW80">
            <v>-89976</v>
          </cell>
          <cell r="CX80">
            <v>-108192</v>
          </cell>
          <cell r="CY80">
            <v>-110952</v>
          </cell>
          <cell r="CZ80">
            <v>-114572</v>
          </cell>
          <cell r="DA80">
            <v>-118796</v>
          </cell>
          <cell r="DB80">
            <v>-113712</v>
          </cell>
          <cell r="DC80">
            <v>-108264</v>
          </cell>
          <cell r="DD80">
            <v>-91776</v>
          </cell>
          <cell r="DE80">
            <v>-87336</v>
          </cell>
          <cell r="DF80">
            <v>-85820</v>
          </cell>
          <cell r="DG80">
            <v>-104208</v>
          </cell>
          <cell r="DH80">
            <v>-1225020</v>
          </cell>
        </row>
        <row r="81">
          <cell r="A81" t="str">
            <v>4880104</v>
          </cell>
          <cell r="B81" t="str">
            <v>4880104</v>
          </cell>
          <cell r="C81" t="str">
            <v>MiscSv-Trip Charge</v>
          </cell>
          <cell r="D81">
            <v>-109140</v>
          </cell>
          <cell r="E81">
            <v>-148320</v>
          </cell>
          <cell r="F81">
            <v>-154795</v>
          </cell>
          <cell r="G81">
            <v>-121001.05</v>
          </cell>
          <cell r="H81">
            <v>-131550</v>
          </cell>
          <cell r="I81">
            <v>-140074</v>
          </cell>
          <cell r="J81">
            <v>-105727</v>
          </cell>
          <cell r="K81">
            <v>-113990</v>
          </cell>
          <cell r="L81">
            <v>-114040</v>
          </cell>
          <cell r="M81">
            <v>-107714.5</v>
          </cell>
          <cell r="N81">
            <v>-78074.5</v>
          </cell>
          <cell r="O81">
            <v>-80359.149999999994</v>
          </cell>
          <cell r="P81">
            <v>-133237</v>
          </cell>
          <cell r="Q81">
            <v>-127717.5</v>
          </cell>
          <cell r="R81">
            <v>-116206</v>
          </cell>
          <cell r="S81">
            <v>-116226</v>
          </cell>
          <cell r="T81">
            <v>-125200.55</v>
          </cell>
          <cell r="U81">
            <v>-102492</v>
          </cell>
          <cell r="V81">
            <v>-102033</v>
          </cell>
          <cell r="W81">
            <v>-95900</v>
          </cell>
          <cell r="X81">
            <v>-81298</v>
          </cell>
          <cell r="Y81">
            <v>-93501</v>
          </cell>
          <cell r="Z81">
            <v>-79369</v>
          </cell>
          <cell r="AA81">
            <v>-65750.5</v>
          </cell>
          <cell r="AB81">
            <v>-80515</v>
          </cell>
          <cell r="AC81">
            <v>-78733.5</v>
          </cell>
          <cell r="AD81">
            <v>-97792</v>
          </cell>
          <cell r="AE81">
            <v>-96841.59</v>
          </cell>
          <cell r="AF81">
            <v>-82624</v>
          </cell>
          <cell r="AG81">
            <v>-80754</v>
          </cell>
          <cell r="AH81">
            <v>-84057</v>
          </cell>
          <cell r="AI81">
            <v>-87145</v>
          </cell>
          <cell r="AJ81">
            <v>-71674</v>
          </cell>
          <cell r="AK81">
            <v>-71195</v>
          </cell>
          <cell r="AL81">
            <v>-76887</v>
          </cell>
          <cell r="AM81">
            <v>-39625</v>
          </cell>
          <cell r="AN81">
            <v>40</v>
          </cell>
          <cell r="AO81">
            <v>0</v>
          </cell>
          <cell r="AP81">
            <v>-1480</v>
          </cell>
          <cell r="AQ81">
            <v>-2000</v>
          </cell>
          <cell r="AR81">
            <v>-5040</v>
          </cell>
          <cell r="AS81">
            <v>-6260</v>
          </cell>
          <cell r="AT81">
            <v>-4180</v>
          </cell>
          <cell r="AU81">
            <v>-6340</v>
          </cell>
          <cell r="AV81">
            <v>-360</v>
          </cell>
          <cell r="AW81">
            <v>-2660</v>
          </cell>
          <cell r="AX81">
            <v>-1220</v>
          </cell>
          <cell r="AY81">
            <v>-780</v>
          </cell>
          <cell r="AZ81">
            <v>-2760</v>
          </cell>
          <cell r="BA81">
            <v>-2560</v>
          </cell>
          <cell r="BB81">
            <v>-3440</v>
          </cell>
          <cell r="BC81">
            <v>-2900</v>
          </cell>
          <cell r="BD81">
            <v>-3800</v>
          </cell>
          <cell r="BE81">
            <v>-3840</v>
          </cell>
          <cell r="BF81">
            <v>-2860</v>
          </cell>
          <cell r="BG81">
            <v>-2640</v>
          </cell>
          <cell r="BH81">
            <v>-3300</v>
          </cell>
          <cell r="BI81">
            <v>-2580</v>
          </cell>
          <cell r="BJ81">
            <v>-1320</v>
          </cell>
          <cell r="BK81">
            <v>-2200</v>
          </cell>
          <cell r="BL81">
            <v>-8060</v>
          </cell>
          <cell r="BM81">
            <v>-8980</v>
          </cell>
          <cell r="BN81">
            <v>-6460</v>
          </cell>
          <cell r="BO81">
            <v>-6580</v>
          </cell>
          <cell r="BP81">
            <v>-6700</v>
          </cell>
          <cell r="BQ81">
            <v>-4480</v>
          </cell>
          <cell r="BR81">
            <v>-2260</v>
          </cell>
          <cell r="BS81">
            <v>-2500</v>
          </cell>
          <cell r="BT81">
            <v>-2360</v>
          </cell>
          <cell r="BU81">
            <v>-4420</v>
          </cell>
          <cell r="BV81">
            <v>-2320</v>
          </cell>
          <cell r="BW81">
            <v>-3680</v>
          </cell>
          <cell r="BX81">
            <v>-2840</v>
          </cell>
          <cell r="BY81">
            <v>-6320</v>
          </cell>
          <cell r="BZ81">
            <v>-1360</v>
          </cell>
          <cell r="CA81">
            <v>60</v>
          </cell>
          <cell r="CB81">
            <v>0</v>
          </cell>
          <cell r="CC81">
            <v>0</v>
          </cell>
          <cell r="CD81">
            <v>0</v>
          </cell>
          <cell r="CE81">
            <v>0</v>
          </cell>
          <cell r="CF81">
            <v>-480</v>
          </cell>
          <cell r="CG81">
            <v>-240</v>
          </cell>
          <cell r="CH81">
            <v>-640</v>
          </cell>
          <cell r="CI81">
            <v>-300</v>
          </cell>
          <cell r="CJ81">
            <v>-875</v>
          </cell>
          <cell r="CK81">
            <v>-1050</v>
          </cell>
          <cell r="CL81">
            <v>-1530</v>
          </cell>
          <cell r="CM81">
            <v>-675</v>
          </cell>
          <cell r="CN81">
            <v>-1325</v>
          </cell>
          <cell r="CO81">
            <v>-1825</v>
          </cell>
          <cell r="CP81">
            <v>-1375</v>
          </cell>
          <cell r="CQ81">
            <v>-1100</v>
          </cell>
          <cell r="CR81">
            <v>-1800</v>
          </cell>
          <cell r="CS81">
            <v>-2325</v>
          </cell>
          <cell r="CT81">
            <v>-1725</v>
          </cell>
          <cell r="CU81">
            <v>-980</v>
          </cell>
          <cell r="CV81">
            <v>-2150</v>
          </cell>
          <cell r="CW81">
            <v>-3950</v>
          </cell>
          <cell r="CX81">
            <v>-5650</v>
          </cell>
          <cell r="CY81">
            <v>-3350</v>
          </cell>
          <cell r="CZ81">
            <v>-4350</v>
          </cell>
          <cell r="DA81">
            <v>-4100</v>
          </cell>
          <cell r="DB81">
            <v>-3025</v>
          </cell>
          <cell r="DC81">
            <v>-4575</v>
          </cell>
          <cell r="DD81">
            <v>-5225</v>
          </cell>
          <cell r="DE81">
            <v>-7075</v>
          </cell>
          <cell r="DF81">
            <v>-6250</v>
          </cell>
          <cell r="DG81">
            <v>-6750</v>
          </cell>
          <cell r="DH81">
            <v>-56450</v>
          </cell>
        </row>
        <row r="82">
          <cell r="A82" t="str">
            <v>4880105</v>
          </cell>
          <cell r="B82" t="str">
            <v>4880105</v>
          </cell>
          <cell r="C82" t="str">
            <v>MiscSv-NSF Fee</v>
          </cell>
          <cell r="D82">
            <v>-18777.830000000002</v>
          </cell>
          <cell r="E82">
            <v>-18166.349999999999</v>
          </cell>
          <cell r="F82">
            <v>-15035.4</v>
          </cell>
          <cell r="G82">
            <v>-16875.23</v>
          </cell>
          <cell r="H82">
            <v>-16193.32</v>
          </cell>
          <cell r="I82">
            <v>-18991.64</v>
          </cell>
          <cell r="J82">
            <v>-17500.71</v>
          </cell>
          <cell r="K82">
            <v>-19087.32</v>
          </cell>
          <cell r="L82">
            <v>-19321.560000000001</v>
          </cell>
          <cell r="M82">
            <v>-19248.7</v>
          </cell>
          <cell r="N82">
            <v>-18749.3</v>
          </cell>
          <cell r="O82">
            <v>-19966.099999999999</v>
          </cell>
          <cell r="P82">
            <v>-18845.849999999999</v>
          </cell>
          <cell r="Q82">
            <v>-18656.330000000002</v>
          </cell>
          <cell r="R82">
            <v>-18485.240000000002</v>
          </cell>
          <cell r="S82">
            <v>-17388.52</v>
          </cell>
          <cell r="T82">
            <v>-15709.4</v>
          </cell>
          <cell r="U82">
            <v>-17152.79</v>
          </cell>
          <cell r="V82">
            <v>-17676.84</v>
          </cell>
          <cell r="W82">
            <v>-17067.97</v>
          </cell>
          <cell r="X82">
            <v>-19544.16</v>
          </cell>
          <cell r="Y82">
            <v>-18756.66</v>
          </cell>
          <cell r="Z82">
            <v>-19905.72</v>
          </cell>
          <cell r="AA82">
            <v>-19733.84</v>
          </cell>
          <cell r="AB82">
            <v>-21853.9</v>
          </cell>
          <cell r="AC82">
            <v>-19058.71</v>
          </cell>
          <cell r="AD82">
            <v>-18778.05</v>
          </cell>
          <cell r="AE82">
            <v>-16710.560000000001</v>
          </cell>
          <cell r="AF82">
            <v>-17469.86</v>
          </cell>
          <cell r="AG82">
            <v>-20207.060000000001</v>
          </cell>
          <cell r="AH82">
            <v>-17938.57</v>
          </cell>
          <cell r="AI82">
            <v>-20711.23</v>
          </cell>
          <cell r="AJ82">
            <v>-20405.330000000002</v>
          </cell>
          <cell r="AK82">
            <v>-17596.54</v>
          </cell>
          <cell r="AL82">
            <v>-19380.240000000002</v>
          </cell>
          <cell r="AM82">
            <v>-26086.14</v>
          </cell>
          <cell r="AN82">
            <v>-21363</v>
          </cell>
          <cell r="AO82">
            <v>-15040.64</v>
          </cell>
          <cell r="AP82">
            <v>-9411.41</v>
          </cell>
          <cell r="AQ82">
            <v>-13341.25</v>
          </cell>
          <cell r="AR82">
            <v>-13699.85</v>
          </cell>
          <cell r="AS82">
            <v>-17195.39</v>
          </cell>
          <cell r="AT82">
            <v>-16052.34</v>
          </cell>
          <cell r="AU82">
            <v>-14922.44</v>
          </cell>
          <cell r="AV82">
            <v>-11911.87</v>
          </cell>
          <cell r="AW82">
            <v>-14980.95</v>
          </cell>
          <cell r="AX82">
            <v>-17140.05</v>
          </cell>
          <cell r="AY82">
            <v>-7175.06</v>
          </cell>
          <cell r="AZ82">
            <v>-16507.080000000002</v>
          </cell>
          <cell r="BA82">
            <v>-15825.7</v>
          </cell>
          <cell r="BB82">
            <v>-16037.63</v>
          </cell>
          <cell r="BC82">
            <v>-13416.9</v>
          </cell>
          <cell r="BD82">
            <v>-17107.650000000001</v>
          </cell>
          <cell r="BE82">
            <v>-14521.51</v>
          </cell>
          <cell r="BF82">
            <v>-17082.05</v>
          </cell>
          <cell r="BG82">
            <v>-16848.29</v>
          </cell>
          <cell r="BH82">
            <v>-15027.48</v>
          </cell>
          <cell r="BI82">
            <v>-18418.95</v>
          </cell>
          <cell r="BJ82">
            <v>-12486.04</v>
          </cell>
          <cell r="BK82">
            <v>-15140.78</v>
          </cell>
          <cell r="BL82">
            <v>-18595.259999999998</v>
          </cell>
          <cell r="BM82">
            <v>-17093.14</v>
          </cell>
          <cell r="BN82">
            <v>-12896.52</v>
          </cell>
          <cell r="BO82">
            <v>-12843.94</v>
          </cell>
          <cell r="BP82">
            <v>-15596.65</v>
          </cell>
          <cell r="BQ82">
            <v>-15654.17</v>
          </cell>
          <cell r="BR82">
            <v>-18864.54</v>
          </cell>
          <cell r="BS82">
            <v>-15242.28</v>
          </cell>
          <cell r="BT82">
            <v>-15403.24</v>
          </cell>
          <cell r="BU82">
            <v>-19309.38</v>
          </cell>
          <cell r="BV82">
            <v>-14429.89</v>
          </cell>
          <cell r="BW82">
            <v>-20890.91</v>
          </cell>
          <cell r="BX82">
            <v>-19362.68</v>
          </cell>
          <cell r="BY82">
            <v>-16902.810000000001</v>
          </cell>
          <cell r="BZ82">
            <v>-15658.44</v>
          </cell>
          <cell r="CA82">
            <v>-15000.56</v>
          </cell>
          <cell r="CB82">
            <v>-9837.09</v>
          </cell>
          <cell r="CC82">
            <v>-9094.69</v>
          </cell>
          <cell r="CD82">
            <v>-11052.97</v>
          </cell>
          <cell r="CE82">
            <v>-8229.6299999999992</v>
          </cell>
          <cell r="CF82">
            <v>-11184.87</v>
          </cell>
          <cell r="CG82">
            <v>-13906.26</v>
          </cell>
          <cell r="CH82">
            <v>-14102.69</v>
          </cell>
          <cell r="CI82">
            <v>-16740.11</v>
          </cell>
          <cell r="CJ82">
            <v>-13290.81</v>
          </cell>
          <cell r="CK82">
            <v>-13374.89</v>
          </cell>
          <cell r="CL82">
            <v>-14618.87</v>
          </cell>
          <cell r="CM82">
            <v>-13548.39</v>
          </cell>
          <cell r="CN82">
            <v>-12712.41</v>
          </cell>
          <cell r="CO82">
            <v>-15053.43</v>
          </cell>
          <cell r="CP82">
            <v>-14449.93</v>
          </cell>
          <cell r="CQ82">
            <v>-16590</v>
          </cell>
          <cell r="CR82">
            <v>-16221.17</v>
          </cell>
          <cell r="CS82">
            <v>-16417.099999999999</v>
          </cell>
          <cell r="CT82">
            <v>-17005.490000000002</v>
          </cell>
          <cell r="CU82">
            <v>-19413.47</v>
          </cell>
          <cell r="CV82">
            <v>-21359.42</v>
          </cell>
          <cell r="CW82">
            <v>-22998.76</v>
          </cell>
          <cell r="CX82">
            <v>-21489.81</v>
          </cell>
          <cell r="CY82">
            <v>-26172.37</v>
          </cell>
          <cell r="CZ82">
            <v>-19752.27</v>
          </cell>
          <cell r="DA82">
            <v>-22988.23</v>
          </cell>
          <cell r="DB82">
            <v>-24755.25</v>
          </cell>
          <cell r="DC82">
            <v>-21781.67</v>
          </cell>
          <cell r="DD82">
            <v>-25449.439999999999</v>
          </cell>
          <cell r="DE82">
            <v>-23804.77</v>
          </cell>
          <cell r="DF82">
            <v>-27564.04</v>
          </cell>
          <cell r="DG82">
            <v>-25783.01</v>
          </cell>
          <cell r="DH82">
            <v>-283899.03999999998</v>
          </cell>
        </row>
        <row r="83">
          <cell r="A83" t="str">
            <v>4880106</v>
          </cell>
          <cell r="B83" t="str">
            <v>4880106</v>
          </cell>
          <cell r="C83" t="str">
            <v>MiscSv-FailedTripChg</v>
          </cell>
          <cell r="D83">
            <v>-5750</v>
          </cell>
          <cell r="E83">
            <v>-7460</v>
          </cell>
          <cell r="F83">
            <v>-6655</v>
          </cell>
          <cell r="G83">
            <v>-5710</v>
          </cell>
          <cell r="H83">
            <v>-7250</v>
          </cell>
          <cell r="I83">
            <v>-8250</v>
          </cell>
          <cell r="J83">
            <v>-7405</v>
          </cell>
          <cell r="K83">
            <v>-8375</v>
          </cell>
          <cell r="L83">
            <v>-6575</v>
          </cell>
          <cell r="M83">
            <v>-8175</v>
          </cell>
          <cell r="N83">
            <v>-6150</v>
          </cell>
          <cell r="O83">
            <v>-7450</v>
          </cell>
          <cell r="P83">
            <v>-6225</v>
          </cell>
          <cell r="Q83">
            <v>-8275</v>
          </cell>
          <cell r="R83">
            <v>-7825</v>
          </cell>
          <cell r="S83">
            <v>-5925</v>
          </cell>
          <cell r="T83">
            <v>-6580</v>
          </cell>
          <cell r="U83">
            <v>-5935</v>
          </cell>
          <cell r="V83">
            <v>-5900</v>
          </cell>
          <cell r="W83">
            <v>-6350</v>
          </cell>
          <cell r="X83">
            <v>-6925</v>
          </cell>
          <cell r="Y83">
            <v>-8010</v>
          </cell>
          <cell r="Z83">
            <v>-6100</v>
          </cell>
          <cell r="AA83">
            <v>-6000</v>
          </cell>
          <cell r="AB83">
            <v>-5925</v>
          </cell>
          <cell r="AC83">
            <v>-6700</v>
          </cell>
          <cell r="AD83">
            <v>-6875</v>
          </cell>
          <cell r="AE83">
            <v>-6025</v>
          </cell>
          <cell r="AF83">
            <v>-6150</v>
          </cell>
          <cell r="AG83">
            <v>-7247</v>
          </cell>
          <cell r="AH83">
            <v>-5645</v>
          </cell>
          <cell r="AI83">
            <v>-7715</v>
          </cell>
          <cell r="AJ83">
            <v>-6415</v>
          </cell>
          <cell r="AK83">
            <v>-6375</v>
          </cell>
          <cell r="AL83">
            <v>-7250</v>
          </cell>
          <cell r="AM83">
            <v>-7030</v>
          </cell>
          <cell r="AN83">
            <v>-7550</v>
          </cell>
          <cell r="AO83">
            <v>-6575</v>
          </cell>
          <cell r="AP83">
            <v>-6800</v>
          </cell>
          <cell r="AQ83">
            <v>-4625</v>
          </cell>
          <cell r="AR83">
            <v>-6475</v>
          </cell>
          <cell r="AS83">
            <v>-5675</v>
          </cell>
          <cell r="AT83">
            <v>-4875</v>
          </cell>
          <cell r="AU83">
            <v>-6300</v>
          </cell>
          <cell r="AV83">
            <v>-5450</v>
          </cell>
          <cell r="AW83">
            <v>-5300</v>
          </cell>
          <cell r="AX83">
            <v>-4625</v>
          </cell>
          <cell r="AY83">
            <v>-4425</v>
          </cell>
          <cell r="AZ83">
            <v>-4825</v>
          </cell>
          <cell r="BA83">
            <v>-5875</v>
          </cell>
          <cell r="BB83">
            <v>-6725</v>
          </cell>
          <cell r="BC83">
            <v>-6075</v>
          </cell>
          <cell r="BD83">
            <v>-5975</v>
          </cell>
          <cell r="BE83">
            <v>-6500</v>
          </cell>
          <cell r="BF83">
            <v>-6350</v>
          </cell>
          <cell r="BG83">
            <v>-7050</v>
          </cell>
          <cell r="BH83">
            <v>-5925</v>
          </cell>
          <cell r="BI83">
            <v>-6350</v>
          </cell>
          <cell r="BJ83">
            <v>-6275</v>
          </cell>
          <cell r="BK83">
            <v>-5050</v>
          </cell>
          <cell r="BL83">
            <v>-4600</v>
          </cell>
          <cell r="BM83">
            <v>-5300</v>
          </cell>
          <cell r="BN83">
            <v>-6500</v>
          </cell>
          <cell r="BO83">
            <v>-6250</v>
          </cell>
          <cell r="BP83">
            <v>-6825</v>
          </cell>
          <cell r="BQ83">
            <v>-5300</v>
          </cell>
          <cell r="BR83">
            <v>-6950</v>
          </cell>
          <cell r="BS83">
            <v>-6750</v>
          </cell>
          <cell r="BT83">
            <v>-5925</v>
          </cell>
          <cell r="BU83">
            <v>-5675</v>
          </cell>
          <cell r="BV83">
            <v>-5925</v>
          </cell>
          <cell r="BW83">
            <v>-5700</v>
          </cell>
          <cell r="BX83">
            <v>-5200</v>
          </cell>
          <cell r="BY83">
            <v>-4625</v>
          </cell>
          <cell r="BZ83">
            <v>-5000</v>
          </cell>
          <cell r="CA83">
            <v>-2300</v>
          </cell>
          <cell r="CB83">
            <v>-2500</v>
          </cell>
          <cell r="CC83">
            <v>-3075</v>
          </cell>
          <cell r="CD83">
            <v>-3275</v>
          </cell>
          <cell r="CE83">
            <v>-2700</v>
          </cell>
          <cell r="CF83">
            <v>-3175</v>
          </cell>
          <cell r="CG83">
            <v>-3375</v>
          </cell>
          <cell r="CH83">
            <v>-3300</v>
          </cell>
          <cell r="CI83">
            <v>-3250</v>
          </cell>
          <cell r="CJ83">
            <v>-2575</v>
          </cell>
          <cell r="CK83">
            <v>-3350</v>
          </cell>
          <cell r="CL83">
            <v>-4125</v>
          </cell>
          <cell r="CM83">
            <v>-4800</v>
          </cell>
          <cell r="CN83">
            <v>-3700</v>
          </cell>
          <cell r="CO83">
            <v>-4275</v>
          </cell>
          <cell r="CP83">
            <v>-3950</v>
          </cell>
          <cell r="CQ83">
            <v>-4725</v>
          </cell>
          <cell r="CR83">
            <v>-3800</v>
          </cell>
          <cell r="CS83">
            <v>-4050</v>
          </cell>
          <cell r="CT83">
            <v>-3675</v>
          </cell>
          <cell r="CU83">
            <v>-3475</v>
          </cell>
          <cell r="CV83">
            <v>-2225</v>
          </cell>
          <cell r="CW83">
            <v>-3225</v>
          </cell>
          <cell r="CX83">
            <v>-3375</v>
          </cell>
          <cell r="CY83">
            <v>-2750</v>
          </cell>
          <cell r="CZ83">
            <v>-3125</v>
          </cell>
          <cell r="DA83">
            <v>-4225</v>
          </cell>
          <cell r="DB83">
            <v>-4075</v>
          </cell>
          <cell r="DC83">
            <v>-4225</v>
          </cell>
          <cell r="DD83">
            <v>-3450</v>
          </cell>
          <cell r="DE83">
            <v>-4025</v>
          </cell>
          <cell r="DF83">
            <v>-3700</v>
          </cell>
          <cell r="DG83">
            <v>-3950</v>
          </cell>
          <cell r="DH83">
            <v>-42350</v>
          </cell>
        </row>
        <row r="84">
          <cell r="A84" t="str">
            <v>4880107</v>
          </cell>
          <cell r="B84" t="str">
            <v>4880107</v>
          </cell>
          <cell r="C84" t="str">
            <v>MiscSv-TempDisconect</v>
          </cell>
          <cell r="D84">
            <v>-1780</v>
          </cell>
          <cell r="E84">
            <v>-1760</v>
          </cell>
          <cell r="F84">
            <v>-5195</v>
          </cell>
          <cell r="G84">
            <v>-13200</v>
          </cell>
          <cell r="H84">
            <v>-7740</v>
          </cell>
          <cell r="I84">
            <v>-4975</v>
          </cell>
          <cell r="J84">
            <v>-4738.49</v>
          </cell>
          <cell r="K84">
            <v>-3040</v>
          </cell>
          <cell r="L84">
            <v>-2600</v>
          </cell>
          <cell r="M84">
            <v>-2680</v>
          </cell>
          <cell r="N84">
            <v>-2130</v>
          </cell>
          <cell r="O84">
            <v>-1050</v>
          </cell>
          <cell r="P84">
            <v>-1120</v>
          </cell>
          <cell r="Q84">
            <v>-1800</v>
          </cell>
          <cell r="R84">
            <v>-6880</v>
          </cell>
          <cell r="S84">
            <v>-11500</v>
          </cell>
          <cell r="T84">
            <v>-7970</v>
          </cell>
          <cell r="U84">
            <v>-7510</v>
          </cell>
          <cell r="V84">
            <v>-3470</v>
          </cell>
          <cell r="W84">
            <v>-3385</v>
          </cell>
          <cell r="X84">
            <v>-2851.22</v>
          </cell>
          <cell r="Y84">
            <v>-2240</v>
          </cell>
          <cell r="Z84">
            <v>-2260</v>
          </cell>
          <cell r="AA84">
            <v>-1700</v>
          </cell>
          <cell r="AB84">
            <v>-1895</v>
          </cell>
          <cell r="AC84">
            <v>-1950</v>
          </cell>
          <cell r="AD84">
            <v>-5660</v>
          </cell>
          <cell r="AE84">
            <v>-10155</v>
          </cell>
          <cell r="AF84">
            <v>-7530</v>
          </cell>
          <cell r="AG84">
            <v>-5255</v>
          </cell>
          <cell r="AH84">
            <v>-4680</v>
          </cell>
          <cell r="AI84">
            <v>-4440</v>
          </cell>
          <cell r="AJ84">
            <v>-3819.18</v>
          </cell>
          <cell r="AK84">
            <v>-3260</v>
          </cell>
          <cell r="AL84">
            <v>-2534.4499999999998</v>
          </cell>
          <cell r="AM84">
            <v>-1320</v>
          </cell>
          <cell r="AN84">
            <v>-300</v>
          </cell>
          <cell r="AO84">
            <v>-320</v>
          </cell>
          <cell r="AP84">
            <v>-760</v>
          </cell>
          <cell r="AQ84">
            <v>-1160</v>
          </cell>
          <cell r="AR84">
            <v>-1300</v>
          </cell>
          <cell r="AS84">
            <v>-1060</v>
          </cell>
          <cell r="AT84">
            <v>-920</v>
          </cell>
          <cell r="AU84">
            <v>-800</v>
          </cell>
          <cell r="AV84">
            <v>-460</v>
          </cell>
          <cell r="AW84">
            <v>-440</v>
          </cell>
          <cell r="AX84">
            <v>-360</v>
          </cell>
          <cell r="AY84">
            <v>-160</v>
          </cell>
          <cell r="AZ84">
            <v>-300</v>
          </cell>
          <cell r="BA84">
            <v>-280</v>
          </cell>
          <cell r="BB84">
            <v>-400</v>
          </cell>
          <cell r="BC84">
            <v>-1200</v>
          </cell>
          <cell r="BD84">
            <v>-780</v>
          </cell>
          <cell r="BE84">
            <v>-580</v>
          </cell>
          <cell r="BF84">
            <v>-620</v>
          </cell>
          <cell r="BG84">
            <v>-680</v>
          </cell>
          <cell r="BH84">
            <v>-320</v>
          </cell>
          <cell r="BI84">
            <v>-600</v>
          </cell>
          <cell r="BJ84">
            <v>-240</v>
          </cell>
          <cell r="BK84">
            <v>-140</v>
          </cell>
          <cell r="BL84">
            <v>-180</v>
          </cell>
          <cell r="BM84">
            <v>-160</v>
          </cell>
          <cell r="BN84">
            <v>-260</v>
          </cell>
          <cell r="BO84">
            <v>-880</v>
          </cell>
          <cell r="BP84">
            <v>-840</v>
          </cell>
          <cell r="BQ84">
            <v>-480</v>
          </cell>
          <cell r="BR84">
            <v>-300</v>
          </cell>
          <cell r="BS84">
            <v>-320</v>
          </cell>
          <cell r="BT84">
            <v>-220</v>
          </cell>
          <cell r="BU84">
            <v>-400</v>
          </cell>
          <cell r="BV84">
            <v>-220</v>
          </cell>
          <cell r="BW84">
            <v>-160</v>
          </cell>
          <cell r="BX84">
            <v>-160</v>
          </cell>
          <cell r="BY84">
            <v>-180</v>
          </cell>
          <cell r="BZ84">
            <v>-580</v>
          </cell>
          <cell r="CA84">
            <v>-300</v>
          </cell>
          <cell r="CB84">
            <v>-540</v>
          </cell>
          <cell r="CC84">
            <v>-620</v>
          </cell>
          <cell r="CD84">
            <v>-1580</v>
          </cell>
          <cell r="CE84">
            <v>-1240</v>
          </cell>
          <cell r="CF84">
            <v>-1020</v>
          </cell>
          <cell r="CG84">
            <v>-880</v>
          </cell>
          <cell r="CH84">
            <v>-1240</v>
          </cell>
          <cell r="CI84">
            <v>-700</v>
          </cell>
          <cell r="CJ84">
            <v>-1200</v>
          </cell>
          <cell r="CK84">
            <v>-810</v>
          </cell>
          <cell r="CL84">
            <v>-1230</v>
          </cell>
          <cell r="CM84">
            <v>-1710</v>
          </cell>
          <cell r="CN84">
            <v>-2204</v>
          </cell>
          <cell r="CO84">
            <v>-2920</v>
          </cell>
          <cell r="CP84">
            <v>-2160</v>
          </cell>
          <cell r="CQ84">
            <v>-3170</v>
          </cell>
          <cell r="CR84">
            <v>-2635</v>
          </cell>
          <cell r="CS84">
            <v>-2010</v>
          </cell>
          <cell r="CT84">
            <v>-1155</v>
          </cell>
          <cell r="CU84">
            <v>-1740</v>
          </cell>
          <cell r="CV84">
            <v>-1320</v>
          </cell>
          <cell r="CW84">
            <v>-1215</v>
          </cell>
          <cell r="CX84">
            <v>-1525</v>
          </cell>
          <cell r="CY84">
            <v>-2250</v>
          </cell>
          <cell r="CZ84">
            <v>-3450</v>
          </cell>
          <cell r="DA84">
            <v>-3290</v>
          </cell>
          <cell r="DB84">
            <v>-2860</v>
          </cell>
          <cell r="DC84">
            <v>-2975</v>
          </cell>
          <cell r="DD84">
            <v>-1755</v>
          </cell>
          <cell r="DE84">
            <v>-2120</v>
          </cell>
          <cell r="DF84">
            <v>-1585</v>
          </cell>
          <cell r="DG84">
            <v>-520</v>
          </cell>
          <cell r="DH84">
            <v>-24865</v>
          </cell>
        </row>
        <row r="85">
          <cell r="A85" t="str">
            <v>4880108</v>
          </cell>
          <cell r="B85" t="str">
            <v>4880108</v>
          </cell>
          <cell r="C85" t="str">
            <v>MiscSv-CRM LegacyAdj</v>
          </cell>
          <cell r="AN85">
            <v>43141.08</v>
          </cell>
          <cell r="AO85">
            <v>5300.78</v>
          </cell>
          <cell r="AP85">
            <v>-3369.24</v>
          </cell>
          <cell r="AQ85">
            <v>10065.379999999999</v>
          </cell>
          <cell r="AR85">
            <v>-10494.58</v>
          </cell>
          <cell r="AS85">
            <v>2927.67</v>
          </cell>
          <cell r="AT85">
            <v>3739.84</v>
          </cell>
          <cell r="AU85">
            <v>4000.89</v>
          </cell>
          <cell r="AV85">
            <v>5351.32</v>
          </cell>
          <cell r="AW85">
            <v>3986.59</v>
          </cell>
          <cell r="AX85">
            <v>3746.65</v>
          </cell>
          <cell r="AY85">
            <v>-5127.8599999999997</v>
          </cell>
          <cell r="AZ85">
            <v>462.15</v>
          </cell>
          <cell r="BA85">
            <v>455.19</v>
          </cell>
          <cell r="BB85">
            <v>6768.89</v>
          </cell>
          <cell r="BC85">
            <v>285.07</v>
          </cell>
          <cell r="BD85">
            <v>7701.63</v>
          </cell>
          <cell r="BE85">
            <v>276.94</v>
          </cell>
          <cell r="BF85">
            <v>7690.41</v>
          </cell>
          <cell r="BG85">
            <v>3285.86</v>
          </cell>
          <cell r="BH85">
            <v>5640.79</v>
          </cell>
          <cell r="BI85">
            <v>56371.31</v>
          </cell>
          <cell r="BJ85">
            <v>406.59</v>
          </cell>
          <cell r="BK85">
            <v>587.4</v>
          </cell>
          <cell r="BL85">
            <v>802.93</v>
          </cell>
          <cell r="BM85">
            <v>941.18</v>
          </cell>
          <cell r="BN85">
            <v>2210.5500000000002</v>
          </cell>
          <cell r="BO85">
            <v>779.32</v>
          </cell>
          <cell r="BP85">
            <v>2425.86</v>
          </cell>
          <cell r="BQ85">
            <v>-47.52</v>
          </cell>
          <cell r="BR85">
            <v>2244.39</v>
          </cell>
          <cell r="BS85">
            <v>266.66000000000003</v>
          </cell>
          <cell r="BT85">
            <v>167.98</v>
          </cell>
          <cell r="BU85">
            <v>8298.49</v>
          </cell>
          <cell r="BV85">
            <v>104.96</v>
          </cell>
          <cell r="BW85">
            <v>165.76</v>
          </cell>
          <cell r="BX85">
            <v>904.96</v>
          </cell>
          <cell r="BY85">
            <v>-512.39</v>
          </cell>
          <cell r="BZ85">
            <v>128.82</v>
          </cell>
          <cell r="CA85">
            <v>0</v>
          </cell>
          <cell r="CB85">
            <v>108.84</v>
          </cell>
          <cell r="CC85">
            <v>165.73</v>
          </cell>
          <cell r="CD85">
            <v>28.5</v>
          </cell>
          <cell r="CE85">
            <v>2427.14</v>
          </cell>
          <cell r="CF85">
            <v>-904.61</v>
          </cell>
          <cell r="CG85">
            <v>146.11000000000001</v>
          </cell>
          <cell r="CH85">
            <v>12.66</v>
          </cell>
          <cell r="CI85">
            <v>1390.05</v>
          </cell>
          <cell r="CJ85">
            <v>-2023.98</v>
          </cell>
          <cell r="CK85">
            <v>16274.57</v>
          </cell>
          <cell r="CL85">
            <v>387519.35</v>
          </cell>
          <cell r="CM85">
            <v>2839.05</v>
          </cell>
          <cell r="CN85">
            <v>66599</v>
          </cell>
          <cell r="CO85">
            <v>-9436.89</v>
          </cell>
          <cell r="CP85">
            <v>104.99</v>
          </cell>
          <cell r="CQ85">
            <v>-1605.09</v>
          </cell>
          <cell r="CR85">
            <v>90.72</v>
          </cell>
          <cell r="CS85">
            <v>3890.09</v>
          </cell>
          <cell r="CT85">
            <v>18641.72</v>
          </cell>
          <cell r="CU85">
            <v>195.41</v>
          </cell>
          <cell r="CV85">
            <v>1946.49</v>
          </cell>
          <cell r="CW85">
            <v>122.7</v>
          </cell>
          <cell r="CX85">
            <v>470.56</v>
          </cell>
          <cell r="CY85">
            <v>3177.92</v>
          </cell>
          <cell r="CZ85">
            <v>1300.46</v>
          </cell>
          <cell r="DA85">
            <v>6143.8</v>
          </cell>
          <cell r="DB85">
            <v>801.51</v>
          </cell>
          <cell r="DC85">
            <v>230.84</v>
          </cell>
          <cell r="DD85">
            <v>203.22</v>
          </cell>
          <cell r="DE85">
            <v>89.78</v>
          </cell>
          <cell r="DF85">
            <v>430.17</v>
          </cell>
          <cell r="DG85">
            <v>0</v>
          </cell>
          <cell r="DH85">
            <v>14917.45</v>
          </cell>
        </row>
        <row r="86">
          <cell r="A86" t="str">
            <v>4880111</v>
          </cell>
          <cell r="B86" t="str">
            <v>4880111</v>
          </cell>
          <cell r="C86" t="str">
            <v>MiscSv-ITSFee</v>
          </cell>
          <cell r="D86">
            <v>-44928</v>
          </cell>
          <cell r="E86">
            <v>-46656</v>
          </cell>
          <cell r="F86">
            <v>-45792</v>
          </cell>
          <cell r="G86">
            <v>-46080</v>
          </cell>
          <cell r="H86">
            <v>-46656</v>
          </cell>
          <cell r="I86">
            <v>-46800</v>
          </cell>
          <cell r="J86">
            <v>-43920</v>
          </cell>
          <cell r="K86">
            <v>-44784</v>
          </cell>
          <cell r="L86">
            <v>-47664</v>
          </cell>
          <cell r="M86">
            <v>-46080</v>
          </cell>
          <cell r="N86">
            <v>-44784</v>
          </cell>
          <cell r="O86">
            <v>-47088</v>
          </cell>
          <cell r="P86">
            <v>-46224</v>
          </cell>
          <cell r="Q86">
            <v>-45216</v>
          </cell>
          <cell r="R86">
            <v>-46944</v>
          </cell>
          <cell r="S86">
            <v>-45360</v>
          </cell>
          <cell r="T86">
            <v>-47088</v>
          </cell>
          <cell r="U86">
            <v>-42624</v>
          </cell>
          <cell r="V86">
            <v>-45360</v>
          </cell>
          <cell r="W86">
            <v>-46512</v>
          </cell>
          <cell r="X86">
            <v>-45936</v>
          </cell>
          <cell r="Y86">
            <v>-45504</v>
          </cell>
          <cell r="Z86">
            <v>-46368</v>
          </cell>
          <cell r="AA86">
            <v>-45792</v>
          </cell>
          <cell r="AB86">
            <v>-46368</v>
          </cell>
          <cell r="AC86">
            <v>-46368</v>
          </cell>
          <cell r="AD86">
            <v>-45936</v>
          </cell>
          <cell r="AE86">
            <v>-45504</v>
          </cell>
          <cell r="AF86">
            <v>-45792</v>
          </cell>
          <cell r="AG86">
            <v>-45648</v>
          </cell>
          <cell r="AH86">
            <v>-45648</v>
          </cell>
          <cell r="AI86">
            <v>-45648</v>
          </cell>
          <cell r="AJ86">
            <v>-45648</v>
          </cell>
          <cell r="AK86">
            <v>-45360</v>
          </cell>
          <cell r="AL86">
            <v>-44496</v>
          </cell>
          <cell r="AM86">
            <v>-48096</v>
          </cell>
          <cell r="AN86">
            <v>-44928</v>
          </cell>
          <cell r="AO86">
            <v>-43488</v>
          </cell>
          <cell r="AP86">
            <v>-50256</v>
          </cell>
          <cell r="AQ86">
            <v>-46815.33</v>
          </cell>
          <cell r="AR86">
            <v>-45615.33</v>
          </cell>
          <cell r="AS86">
            <v>-47107.199999999997</v>
          </cell>
          <cell r="AT86">
            <v>-46425.599999999999</v>
          </cell>
          <cell r="AU86">
            <v>-46593.599999999999</v>
          </cell>
          <cell r="AV86">
            <v>-46800</v>
          </cell>
          <cell r="AW86">
            <v>-46387.199999999997</v>
          </cell>
          <cell r="AX86">
            <v>-47529.599999999999</v>
          </cell>
          <cell r="AY86">
            <v>-47222.400000000001</v>
          </cell>
          <cell r="AZ86">
            <v>-46800</v>
          </cell>
          <cell r="BA86">
            <v>-46656</v>
          </cell>
          <cell r="BB86">
            <v>-48384</v>
          </cell>
          <cell r="BC86">
            <v>-56064</v>
          </cell>
          <cell r="BD86">
            <v>-48960</v>
          </cell>
          <cell r="BE86">
            <v>-48566.400000000001</v>
          </cell>
          <cell r="BF86">
            <v>-48384</v>
          </cell>
          <cell r="BG86">
            <v>-48672</v>
          </cell>
          <cell r="BH86">
            <v>-47232</v>
          </cell>
          <cell r="BI86">
            <v>-48709.16</v>
          </cell>
          <cell r="BJ86">
            <v>-48240</v>
          </cell>
          <cell r="BK86">
            <v>-46027.199999999997</v>
          </cell>
          <cell r="BL86">
            <v>-50256</v>
          </cell>
          <cell r="BM86">
            <v>-48163.05</v>
          </cell>
          <cell r="BN86">
            <v>-46656</v>
          </cell>
          <cell r="BO86">
            <v>-47668.800000000003</v>
          </cell>
          <cell r="BP86">
            <v>-49080.46</v>
          </cell>
          <cell r="BQ86">
            <v>-47664</v>
          </cell>
          <cell r="BR86">
            <v>-47952</v>
          </cell>
          <cell r="BS86">
            <v>-46656</v>
          </cell>
          <cell r="BT86">
            <v>-50140.800000000003</v>
          </cell>
          <cell r="BU86">
            <v>-48384</v>
          </cell>
          <cell r="BV86">
            <v>-48912</v>
          </cell>
          <cell r="BW86">
            <v>-48590.400000000001</v>
          </cell>
          <cell r="BX86">
            <v>-45984</v>
          </cell>
          <cell r="BY86">
            <v>-47371.040000000001</v>
          </cell>
          <cell r="BZ86">
            <v>-46512</v>
          </cell>
          <cell r="CA86">
            <v>-46512</v>
          </cell>
          <cell r="CB86">
            <v>-48277.78</v>
          </cell>
          <cell r="CC86">
            <v>-45504</v>
          </cell>
          <cell r="CD86">
            <v>-47232</v>
          </cell>
          <cell r="CE86">
            <v>-46512</v>
          </cell>
          <cell r="CF86">
            <v>-47808</v>
          </cell>
          <cell r="CG86">
            <v>-46684.800000000003</v>
          </cell>
          <cell r="CH86">
            <v>-47851.199999999997</v>
          </cell>
          <cell r="CI86">
            <v>-45873.75</v>
          </cell>
          <cell r="CJ86">
            <v>-70560</v>
          </cell>
          <cell r="CK86">
            <v>-74793.600000000006</v>
          </cell>
          <cell r="CL86">
            <v>-69760.800000000003</v>
          </cell>
          <cell r="CM86">
            <v>-79982.009999999995</v>
          </cell>
          <cell r="CN86">
            <v>-66384</v>
          </cell>
          <cell r="CO86">
            <v>-70848</v>
          </cell>
          <cell r="CP86">
            <v>-73656</v>
          </cell>
          <cell r="CQ86">
            <v>-71589.600000000006</v>
          </cell>
          <cell r="CR86">
            <v>-71064</v>
          </cell>
          <cell r="CS86">
            <v>-72187.199999999997</v>
          </cell>
          <cell r="CT86">
            <v>-71064</v>
          </cell>
          <cell r="CU86">
            <v>-71280</v>
          </cell>
          <cell r="CV86">
            <v>-72332.13</v>
          </cell>
          <cell r="CW86">
            <v>-72576</v>
          </cell>
          <cell r="CX86">
            <v>-72144</v>
          </cell>
          <cell r="CY86">
            <v>-72360</v>
          </cell>
          <cell r="CZ86">
            <v>-71928</v>
          </cell>
          <cell r="DA86">
            <v>-73656</v>
          </cell>
          <cell r="DB86">
            <v>-73008</v>
          </cell>
          <cell r="DC86">
            <v>-72360</v>
          </cell>
          <cell r="DD86">
            <v>-73051.199999999997</v>
          </cell>
          <cell r="DE86">
            <v>-72144</v>
          </cell>
          <cell r="DF86">
            <v>-72576</v>
          </cell>
          <cell r="DG86">
            <v>-73656</v>
          </cell>
          <cell r="DH86">
            <v>-871791.33</v>
          </cell>
        </row>
        <row r="87">
          <cell r="A87" t="str">
            <v>4880800</v>
          </cell>
          <cell r="B87" t="str">
            <v>4880800</v>
          </cell>
          <cell r="C87" t="str">
            <v>Misc Svc Rev Other</v>
          </cell>
          <cell r="D87">
            <v>0</v>
          </cell>
          <cell r="E87">
            <v>0</v>
          </cell>
          <cell r="F87">
            <v>2.95</v>
          </cell>
          <cell r="G87">
            <v>0</v>
          </cell>
          <cell r="H87">
            <v>0</v>
          </cell>
          <cell r="I87">
            <v>0</v>
          </cell>
          <cell r="J87">
            <v>0</v>
          </cell>
          <cell r="K87">
            <v>-94012.5</v>
          </cell>
          <cell r="L87">
            <v>0</v>
          </cell>
          <cell r="M87">
            <v>-17030.16</v>
          </cell>
          <cell r="N87">
            <v>-17077.64</v>
          </cell>
          <cell r="O87">
            <v>-12520.89</v>
          </cell>
          <cell r="P87">
            <v>-17080.490000000002</v>
          </cell>
          <cell r="Q87">
            <v>-17083.34</v>
          </cell>
          <cell r="R87">
            <v>-14062.84</v>
          </cell>
          <cell r="S87">
            <v>-8906.76</v>
          </cell>
          <cell r="T87">
            <v>-16494.98</v>
          </cell>
          <cell r="U87">
            <v>-16494.98</v>
          </cell>
          <cell r="V87">
            <v>-16494.98</v>
          </cell>
          <cell r="W87">
            <v>-14087.47</v>
          </cell>
          <cell r="X87">
            <v>-15987.52</v>
          </cell>
          <cell r="Y87">
            <v>-14042.66</v>
          </cell>
          <cell r="Z87">
            <v>-17228.63</v>
          </cell>
          <cell r="AA87">
            <v>-17083.34</v>
          </cell>
          <cell r="AB87">
            <v>-17185.89</v>
          </cell>
          <cell r="AC87">
            <v>-17083.34</v>
          </cell>
          <cell r="AD87">
            <v>-16468.099999999999</v>
          </cell>
          <cell r="AE87">
            <v>-8870.89</v>
          </cell>
          <cell r="AF87">
            <v>-16683.55</v>
          </cell>
          <cell r="AG87">
            <v>-15200.46</v>
          </cell>
          <cell r="AH87">
            <v>-16334.28</v>
          </cell>
          <cell r="AI87">
            <v>-16591.03</v>
          </cell>
          <cell r="AJ87">
            <v>-16654.61</v>
          </cell>
          <cell r="AK87">
            <v>-16395.849999999999</v>
          </cell>
          <cell r="AL87">
            <v>-17597.88</v>
          </cell>
          <cell r="AM87">
            <v>-13581.41</v>
          </cell>
          <cell r="AN87">
            <v>-15749.36</v>
          </cell>
          <cell r="AO87">
            <v>-17328.82</v>
          </cell>
          <cell r="AP87">
            <v>-16943.2</v>
          </cell>
          <cell r="AQ87">
            <v>-17266.3</v>
          </cell>
          <cell r="AR87">
            <v>-15729</v>
          </cell>
          <cell r="AS87">
            <v>-13498.29</v>
          </cell>
          <cell r="AT87">
            <v>-17954.55</v>
          </cell>
          <cell r="AU87">
            <v>-17310.88</v>
          </cell>
          <cell r="AV87">
            <v>-17317.740000000002</v>
          </cell>
          <cell r="AW87">
            <v>-16178.85</v>
          </cell>
          <cell r="AX87">
            <v>-17097.169999999998</v>
          </cell>
          <cell r="AY87">
            <v>-16865.71</v>
          </cell>
          <cell r="AZ87">
            <v>-17050.87</v>
          </cell>
          <cell r="BA87">
            <v>-17079.16</v>
          </cell>
          <cell r="BB87">
            <v>-9528.9</v>
          </cell>
          <cell r="BC87">
            <v>-11905.97</v>
          </cell>
          <cell r="BD87">
            <v>-17223.689999999999</v>
          </cell>
          <cell r="BE87">
            <v>-10940.7</v>
          </cell>
          <cell r="BF87">
            <v>-12527.32</v>
          </cell>
          <cell r="BG87">
            <v>-16047.81</v>
          </cell>
          <cell r="BH87">
            <v>-9286.64</v>
          </cell>
          <cell r="BI87">
            <v>-16598.990000000002</v>
          </cell>
          <cell r="BJ87">
            <v>-15333.17</v>
          </cell>
          <cell r="BK87">
            <v>-14663.94</v>
          </cell>
          <cell r="BL87">
            <v>32692.36</v>
          </cell>
          <cell r="BM87">
            <v>-16959.28</v>
          </cell>
          <cell r="BN87">
            <v>-15816.87</v>
          </cell>
          <cell r="BO87">
            <v>-7565.87</v>
          </cell>
          <cell r="BP87">
            <v>-17071.55</v>
          </cell>
          <cell r="BQ87">
            <v>-16055.25</v>
          </cell>
          <cell r="BR87">
            <v>-16775.189999999999</v>
          </cell>
          <cell r="BS87">
            <v>-16043.09</v>
          </cell>
          <cell r="BT87">
            <v>-16919.04</v>
          </cell>
          <cell r="BU87">
            <v>-16463.580000000002</v>
          </cell>
          <cell r="BV87">
            <v>-14820.91</v>
          </cell>
          <cell r="BW87">
            <v>-17083.73</v>
          </cell>
          <cell r="BX87">
            <v>-17021.96</v>
          </cell>
          <cell r="BY87">
            <v>-16586.12</v>
          </cell>
          <cell r="BZ87">
            <v>-9152.36</v>
          </cell>
          <cell r="CA87">
            <v>-16373.33</v>
          </cell>
          <cell r="CB87">
            <v>1445.02</v>
          </cell>
          <cell r="CC87">
            <v>-15762.82</v>
          </cell>
          <cell r="CD87">
            <v>-14238.9</v>
          </cell>
          <cell r="CE87">
            <v>-13642.9</v>
          </cell>
          <cell r="CF87">
            <v>-16001.26</v>
          </cell>
          <cell r="CG87">
            <v>-6963.02</v>
          </cell>
          <cell r="CH87">
            <v>-14979.13</v>
          </cell>
          <cell r="CI87">
            <v>-16631.16</v>
          </cell>
          <cell r="CJ87">
            <v>-15916.69</v>
          </cell>
          <cell r="CK87">
            <v>-16395.63</v>
          </cell>
          <cell r="CL87">
            <v>-16510.310000000001</v>
          </cell>
          <cell r="CM87">
            <v>-7667.17</v>
          </cell>
          <cell r="CN87">
            <v>-16764.93</v>
          </cell>
          <cell r="CO87">
            <v>-16169.4</v>
          </cell>
          <cell r="CP87">
            <v>-16397.16</v>
          </cell>
          <cell r="CQ87">
            <v>-14264.46</v>
          </cell>
          <cell r="CR87">
            <v>-17027.099999999999</v>
          </cell>
          <cell r="CS87">
            <v>-16644.73</v>
          </cell>
          <cell r="CT87">
            <v>-15733.86</v>
          </cell>
          <cell r="CU87">
            <v>-16411.73</v>
          </cell>
          <cell r="CV87">
            <v>-16396.03</v>
          </cell>
          <cell r="CW87">
            <v>-17580.150000000001</v>
          </cell>
          <cell r="CX87">
            <v>-17040.43</v>
          </cell>
          <cell r="CY87">
            <v>-16474.12</v>
          </cell>
          <cell r="CZ87">
            <v>-16772.36</v>
          </cell>
          <cell r="DA87">
            <v>-7756.64</v>
          </cell>
          <cell r="DB87">
            <v>-16799.54</v>
          </cell>
          <cell r="DC87">
            <v>-9997.34</v>
          </cell>
          <cell r="DD87">
            <v>-13159</v>
          </cell>
          <cell r="DE87">
            <v>-17461.77</v>
          </cell>
          <cell r="DF87">
            <v>-17265.099999999999</v>
          </cell>
          <cell r="DG87">
            <v>-16970.63</v>
          </cell>
          <cell r="DH87">
            <v>-183673.11</v>
          </cell>
        </row>
        <row r="88">
          <cell r="A88" t="str">
            <v>4880850</v>
          </cell>
          <cell r="B88" t="str">
            <v>4880850</v>
          </cell>
          <cell r="C88" t="str">
            <v>MiscSv-NGVS-2 Facil</v>
          </cell>
          <cell r="AE88">
            <v>-21922.81</v>
          </cell>
          <cell r="AF88">
            <v>87691.24</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row>
        <row r="89">
          <cell r="A89" t="str">
            <v>4893001</v>
          </cell>
          <cell r="B89" t="str">
            <v>4893001</v>
          </cell>
          <cell r="C89" t="str">
            <v>NatGas Vehicle Trnsp</v>
          </cell>
          <cell r="D89">
            <v>-2880.87</v>
          </cell>
          <cell r="E89">
            <v>-2761.82</v>
          </cell>
          <cell r="F89">
            <v>-3020.96</v>
          </cell>
          <cell r="G89">
            <v>-2984.65</v>
          </cell>
          <cell r="H89">
            <v>-3816.45</v>
          </cell>
          <cell r="I89">
            <v>-2562.9699999999998</v>
          </cell>
          <cell r="J89">
            <v>-3591.43</v>
          </cell>
          <cell r="K89">
            <v>-1625.24</v>
          </cell>
          <cell r="L89">
            <v>-1740.49</v>
          </cell>
          <cell r="M89">
            <v>-3575.98</v>
          </cell>
          <cell r="N89">
            <v>-2726.13</v>
          </cell>
          <cell r="O89">
            <v>-2927.85</v>
          </cell>
          <cell r="P89">
            <v>-3451.05</v>
          </cell>
          <cell r="Q89">
            <v>-4005.76</v>
          </cell>
          <cell r="R89">
            <v>-3531.26</v>
          </cell>
          <cell r="S89">
            <v>-3505.34</v>
          </cell>
          <cell r="T89">
            <v>-2914.33</v>
          </cell>
          <cell r="U89">
            <v>-3710.83</v>
          </cell>
          <cell r="V89">
            <v>-3092.84</v>
          </cell>
          <cell r="W89">
            <v>-3474.39</v>
          </cell>
          <cell r="X89">
            <v>-3548.57</v>
          </cell>
          <cell r="Y89">
            <v>-2076.67</v>
          </cell>
          <cell r="Z89">
            <v>-1956.25</v>
          </cell>
          <cell r="AA89">
            <v>-2353.85</v>
          </cell>
          <cell r="AB89">
            <v>-2675.02</v>
          </cell>
          <cell r="AC89">
            <v>-2119.2399999999998</v>
          </cell>
          <cell r="AD89">
            <v>-2226.3200000000002</v>
          </cell>
          <cell r="AE89">
            <v>-3150.59</v>
          </cell>
          <cell r="AF89">
            <v>-2717.24</v>
          </cell>
          <cell r="AG89">
            <v>-2722.08</v>
          </cell>
          <cell r="AH89">
            <v>-1600.88</v>
          </cell>
          <cell r="AI89">
            <v>-877.5</v>
          </cell>
          <cell r="AJ89">
            <v>-725.12</v>
          </cell>
          <cell r="AK89">
            <v>-595.88</v>
          </cell>
          <cell r="AL89">
            <v>-716.1</v>
          </cell>
          <cell r="AM89">
            <v>-726.63</v>
          </cell>
          <cell r="AN89">
            <v>-796.99</v>
          </cell>
          <cell r="AO89">
            <v>-662.14</v>
          </cell>
          <cell r="AP89">
            <v>-517.26</v>
          </cell>
          <cell r="AQ89">
            <v>-586.28</v>
          </cell>
          <cell r="AR89">
            <v>-860.36</v>
          </cell>
          <cell r="AS89">
            <v>-721.85</v>
          </cell>
          <cell r="AT89">
            <v>-662.73</v>
          </cell>
          <cell r="AU89">
            <v>-1444.75</v>
          </cell>
          <cell r="AV89">
            <v>-1120.04</v>
          </cell>
          <cell r="AW89">
            <v>-692.57</v>
          </cell>
          <cell r="AX89">
            <v>-984.14</v>
          </cell>
          <cell r="AY89">
            <v>-925.31</v>
          </cell>
          <cell r="AZ89">
            <v>-873</v>
          </cell>
          <cell r="BA89">
            <v>-919.9</v>
          </cell>
          <cell r="BB89">
            <v>-1032.07</v>
          </cell>
          <cell r="BC89">
            <v>-978.17</v>
          </cell>
          <cell r="BD89">
            <v>-954.77</v>
          </cell>
          <cell r="BE89">
            <v>-1108.55</v>
          </cell>
          <cell r="BF89">
            <v>-1054.3800000000001</v>
          </cell>
          <cell r="BG89">
            <v>-1026.99</v>
          </cell>
          <cell r="BH89">
            <v>-1188.33</v>
          </cell>
          <cell r="BI89">
            <v>-1150.5999999999999</v>
          </cell>
          <cell r="BJ89">
            <v>-967.27</v>
          </cell>
          <cell r="BK89">
            <v>-904.21</v>
          </cell>
          <cell r="BL89">
            <v>-527.69000000000005</v>
          </cell>
          <cell r="BM89">
            <v>-816.22</v>
          </cell>
          <cell r="BN89">
            <v>-907.4</v>
          </cell>
          <cell r="BO89">
            <v>-861.65</v>
          </cell>
          <cell r="BP89">
            <v>-870.04</v>
          </cell>
          <cell r="BQ89">
            <v>-1054.52</v>
          </cell>
          <cell r="BR89">
            <v>-863.36</v>
          </cell>
          <cell r="BS89">
            <v>-710.78</v>
          </cell>
          <cell r="BT89">
            <v>-814.87</v>
          </cell>
          <cell r="BU89">
            <v>-966.51</v>
          </cell>
          <cell r="BV89">
            <v>-912.63</v>
          </cell>
          <cell r="BW89">
            <v>-968.15</v>
          </cell>
          <cell r="BX89">
            <v>-863.03</v>
          </cell>
          <cell r="BY89">
            <v>-835.32</v>
          </cell>
          <cell r="BZ89">
            <v>-1043.23</v>
          </cell>
          <cell r="CA89">
            <v>-1030.25</v>
          </cell>
          <cell r="CB89">
            <v>-922.2</v>
          </cell>
          <cell r="CC89">
            <v>-746.75</v>
          </cell>
          <cell r="CD89">
            <v>-836.3</v>
          </cell>
          <cell r="CE89">
            <v>-927.08</v>
          </cell>
          <cell r="CF89">
            <v>-789.61</v>
          </cell>
          <cell r="CG89">
            <v>-756.83</v>
          </cell>
          <cell r="CH89">
            <v>-948.63</v>
          </cell>
          <cell r="CI89">
            <v>-704.44</v>
          </cell>
          <cell r="CJ89">
            <v>-726.36</v>
          </cell>
          <cell r="CK89">
            <v>726.36</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row>
        <row r="90">
          <cell r="A90" t="str">
            <v>4893002</v>
          </cell>
          <cell r="B90" t="str">
            <v>4893002</v>
          </cell>
          <cell r="C90" t="str">
            <v>NGas Veh Trnsp Swing</v>
          </cell>
          <cell r="D90">
            <v>-376.19</v>
          </cell>
          <cell r="E90">
            <v>-357.43</v>
          </cell>
          <cell r="F90">
            <v>-398.28</v>
          </cell>
          <cell r="G90">
            <v>-399.64</v>
          </cell>
          <cell r="H90">
            <v>-530.83000000000004</v>
          </cell>
          <cell r="I90">
            <v>-336.72</v>
          </cell>
          <cell r="J90">
            <v>-491.8</v>
          </cell>
          <cell r="K90">
            <v>-199.49</v>
          </cell>
          <cell r="L90">
            <v>-224.7</v>
          </cell>
          <cell r="M90">
            <v>-496.43</v>
          </cell>
          <cell r="N90">
            <v>-358.89</v>
          </cell>
          <cell r="O90">
            <v>-390.7</v>
          </cell>
          <cell r="P90">
            <v>-473.2</v>
          </cell>
          <cell r="Q90">
            <v>-560.66999999999996</v>
          </cell>
          <cell r="R90">
            <v>-485.84</v>
          </cell>
          <cell r="S90">
            <v>-481.76</v>
          </cell>
          <cell r="T90">
            <v>-388.57</v>
          </cell>
          <cell r="U90">
            <v>-514.16</v>
          </cell>
          <cell r="V90">
            <v>-416.71</v>
          </cell>
          <cell r="W90">
            <v>-469.8</v>
          </cell>
          <cell r="X90">
            <v>-492.13</v>
          </cell>
          <cell r="Y90">
            <v>-299.07</v>
          </cell>
          <cell r="Z90">
            <v>-280.07</v>
          </cell>
          <cell r="AA90">
            <v>-514.15</v>
          </cell>
          <cell r="AB90">
            <v>-600.76</v>
          </cell>
          <cell r="AC90">
            <v>-469.31</v>
          </cell>
          <cell r="AD90">
            <v>-494.63</v>
          </cell>
          <cell r="AE90">
            <v>-713.23</v>
          </cell>
          <cell r="AF90">
            <v>-610.74</v>
          </cell>
          <cell r="AG90">
            <v>-606.57000000000005</v>
          </cell>
          <cell r="AH90">
            <v>-336.07</v>
          </cell>
          <cell r="AI90">
            <v>-164.96</v>
          </cell>
          <cell r="AJ90">
            <v>-128.93</v>
          </cell>
          <cell r="AK90">
            <v>-98.36</v>
          </cell>
          <cell r="AL90">
            <v>-126.79</v>
          </cell>
          <cell r="AM90">
            <v>-129.28</v>
          </cell>
          <cell r="AN90">
            <v>-143.81</v>
          </cell>
          <cell r="AO90">
            <v>-114.03</v>
          </cell>
          <cell r="AP90">
            <v>-79.77</v>
          </cell>
          <cell r="AQ90">
            <v>-96.09</v>
          </cell>
          <cell r="AR90">
            <v>-160.91999999999999</v>
          </cell>
          <cell r="AS90">
            <v>-128.15</v>
          </cell>
          <cell r="AT90">
            <v>-114.17</v>
          </cell>
          <cell r="AU90">
            <v>-299.13</v>
          </cell>
          <cell r="AV90">
            <v>-220.2</v>
          </cell>
          <cell r="AW90">
            <v>-121.23</v>
          </cell>
          <cell r="AX90">
            <v>-190.19</v>
          </cell>
          <cell r="AY90">
            <v>-176.27</v>
          </cell>
          <cell r="AZ90">
            <v>-163.91</v>
          </cell>
          <cell r="BA90">
            <v>-175</v>
          </cell>
          <cell r="BB90">
            <v>-201.53</v>
          </cell>
          <cell r="BC90">
            <v>-188.79</v>
          </cell>
          <cell r="BD90">
            <v>-183.25</v>
          </cell>
          <cell r="BE90">
            <v>-219.63</v>
          </cell>
          <cell r="BF90">
            <v>-206.81</v>
          </cell>
          <cell r="BG90">
            <v>-202.46</v>
          </cell>
          <cell r="BH90">
            <v>-238.48</v>
          </cell>
          <cell r="BI90">
            <v>-229.56</v>
          </cell>
          <cell r="BJ90">
            <v>-188.33</v>
          </cell>
          <cell r="BK90">
            <v>-171.28</v>
          </cell>
          <cell r="BL90">
            <v>-86.64</v>
          </cell>
          <cell r="BM90">
            <v>-160.57</v>
          </cell>
          <cell r="BN90">
            <v>-183.27</v>
          </cell>
          <cell r="BO90">
            <v>-171.88</v>
          </cell>
          <cell r="BP90">
            <v>-173.98</v>
          </cell>
          <cell r="BQ90">
            <v>-219.88</v>
          </cell>
          <cell r="BR90">
            <v>-172.31</v>
          </cell>
          <cell r="BS90">
            <v>-134.33000000000001</v>
          </cell>
          <cell r="BT90">
            <v>-160.25</v>
          </cell>
          <cell r="BU90">
            <v>-197.99</v>
          </cell>
          <cell r="BV90">
            <v>-184.56</v>
          </cell>
          <cell r="BW90">
            <v>-198.38</v>
          </cell>
          <cell r="BX90">
            <v>-172.23</v>
          </cell>
          <cell r="BY90">
            <v>-165.33</v>
          </cell>
          <cell r="BZ90">
            <v>-217.08</v>
          </cell>
          <cell r="CA90">
            <v>-213.84</v>
          </cell>
          <cell r="CB90">
            <v>-186.95</v>
          </cell>
          <cell r="CC90">
            <v>-143.29</v>
          </cell>
          <cell r="CD90">
            <v>-165.58</v>
          </cell>
          <cell r="CE90">
            <v>-188.17</v>
          </cell>
          <cell r="CF90">
            <v>-153.94999999999999</v>
          </cell>
          <cell r="CG90">
            <v>-145.79</v>
          </cell>
          <cell r="CH90">
            <v>-182.89</v>
          </cell>
          <cell r="CI90">
            <v>-143.4</v>
          </cell>
          <cell r="CJ90">
            <v>-138.19999999999999</v>
          </cell>
          <cell r="CK90">
            <v>138.19999999999999</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row>
        <row r="91">
          <cell r="A91" t="str">
            <v>4893004</v>
          </cell>
          <cell r="B91" t="str">
            <v>4893004</v>
          </cell>
          <cell r="C91" t="str">
            <v>Comm StLgt Transp</v>
          </cell>
          <cell r="D91">
            <v>-8916.49</v>
          </cell>
          <cell r="E91">
            <v>-8543.76</v>
          </cell>
          <cell r="F91">
            <v>-8118.67</v>
          </cell>
          <cell r="G91">
            <v>-8327.84</v>
          </cell>
          <cell r="H91">
            <v>-8236.23</v>
          </cell>
          <cell r="I91">
            <v>-9108.69</v>
          </cell>
          <cell r="J91">
            <v>-8457.65</v>
          </cell>
          <cell r="K91">
            <v>-8451.11</v>
          </cell>
          <cell r="L91">
            <v>-9185.48</v>
          </cell>
          <cell r="M91">
            <v>-8812.6200000000008</v>
          </cell>
          <cell r="N91">
            <v>-8481.9599999999991</v>
          </cell>
          <cell r="O91">
            <v>-7969.9</v>
          </cell>
          <cell r="P91">
            <v>-9377</v>
          </cell>
          <cell r="Q91">
            <v>-8818.67</v>
          </cell>
          <cell r="R91">
            <v>-8788.3700000000008</v>
          </cell>
          <cell r="S91">
            <v>-8337.4500000000007</v>
          </cell>
          <cell r="T91">
            <v>-8420.36</v>
          </cell>
          <cell r="U91">
            <v>-9618.86</v>
          </cell>
          <cell r="V91">
            <v>-8306.57</v>
          </cell>
          <cell r="W91">
            <v>-9332.07</v>
          </cell>
          <cell r="X91">
            <v>-8565.8700000000008</v>
          </cell>
          <cell r="Y91">
            <v>-8661.02</v>
          </cell>
          <cell r="Z91">
            <v>-7739.33</v>
          </cell>
          <cell r="AA91">
            <v>-8256.19</v>
          </cell>
          <cell r="AB91">
            <v>-9093.9500000000007</v>
          </cell>
          <cell r="AC91">
            <v>-8345.36</v>
          </cell>
          <cell r="AD91">
            <v>-7995.39</v>
          </cell>
          <cell r="AE91">
            <v>-8549.64</v>
          </cell>
          <cell r="AF91">
            <v>-8613.32</v>
          </cell>
          <cell r="AG91">
            <v>-8387.7199999999993</v>
          </cell>
          <cell r="AH91">
            <v>-8202.4699999999993</v>
          </cell>
          <cell r="AI91">
            <v>-8043.75</v>
          </cell>
          <cell r="AJ91">
            <v>-8705.99</v>
          </cell>
          <cell r="AK91">
            <v>-7951.1</v>
          </cell>
          <cell r="AL91">
            <v>-7440.99</v>
          </cell>
          <cell r="AM91">
            <v>-7323.84</v>
          </cell>
          <cell r="AN91">
            <v>-8549.18</v>
          </cell>
          <cell r="AO91">
            <v>-8260.81</v>
          </cell>
          <cell r="AP91">
            <v>-8117.22</v>
          </cell>
          <cell r="AQ91">
            <v>-7778.92</v>
          </cell>
          <cell r="AR91">
            <v>-8720.4599999999991</v>
          </cell>
          <cell r="AS91">
            <v>-8323.86</v>
          </cell>
          <cell r="AT91">
            <v>-8097.24</v>
          </cell>
          <cell r="AU91">
            <v>-8189.12</v>
          </cell>
          <cell r="AV91">
            <v>-8084.54</v>
          </cell>
          <cell r="AW91">
            <v>-7009.16</v>
          </cell>
          <cell r="AX91">
            <v>-7749.26</v>
          </cell>
          <cell r="AY91">
            <v>-8394.5</v>
          </cell>
          <cell r="AZ91">
            <v>-11314.42</v>
          </cell>
          <cell r="BA91">
            <v>-8609.52</v>
          </cell>
          <cell r="BB91">
            <v>-7899.92</v>
          </cell>
          <cell r="BC91">
            <v>-8561.59</v>
          </cell>
          <cell r="BD91">
            <v>-8213.3700000000008</v>
          </cell>
          <cell r="BE91">
            <v>-9120.93</v>
          </cell>
          <cell r="BF91">
            <v>-8352.1299999999992</v>
          </cell>
          <cell r="BG91">
            <v>3736.7</v>
          </cell>
          <cell r="BH91">
            <v>-8618.32</v>
          </cell>
          <cell r="BI91">
            <v>-7439.72</v>
          </cell>
          <cell r="BJ91">
            <v>-8319.09</v>
          </cell>
          <cell r="BK91">
            <v>-7911.63</v>
          </cell>
          <cell r="BL91">
            <v>-8173.68</v>
          </cell>
          <cell r="BM91">
            <v>-7287.76</v>
          </cell>
          <cell r="BN91">
            <v>-7506.67</v>
          </cell>
          <cell r="BO91">
            <v>-3697.05</v>
          </cell>
          <cell r="BP91">
            <v>-7719.95</v>
          </cell>
          <cell r="BQ91">
            <v>-7200.67</v>
          </cell>
          <cell r="BR91">
            <v>-7021.51</v>
          </cell>
          <cell r="BS91">
            <v>-7229.42</v>
          </cell>
          <cell r="BT91">
            <v>-7013.7</v>
          </cell>
          <cell r="BU91">
            <v>-6831.33</v>
          </cell>
          <cell r="BV91">
            <v>-7087.23</v>
          </cell>
          <cell r="BW91">
            <v>-6845.63</v>
          </cell>
          <cell r="BX91">
            <v>-7915.55</v>
          </cell>
          <cell r="BY91">
            <v>-6919.67</v>
          </cell>
          <cell r="BZ91">
            <v>-7014.38</v>
          </cell>
          <cell r="CA91">
            <v>-6253.05</v>
          </cell>
          <cell r="CB91">
            <v>-6836.29</v>
          </cell>
          <cell r="CC91">
            <v>-6656.33</v>
          </cell>
          <cell r="CD91">
            <v>-7003.7</v>
          </cell>
          <cell r="CE91">
            <v>-7001.09</v>
          </cell>
          <cell r="CF91">
            <v>-6681.5</v>
          </cell>
          <cell r="CG91">
            <v>-6896.75</v>
          </cell>
          <cell r="CH91">
            <v>-7143.4</v>
          </cell>
          <cell r="CI91">
            <v>-7323.21</v>
          </cell>
          <cell r="CJ91">
            <v>-11154.56</v>
          </cell>
          <cell r="CK91">
            <v>-9698.0400000000009</v>
          </cell>
          <cell r="CL91">
            <v>-10544.07</v>
          </cell>
          <cell r="CM91">
            <v>-10793.16</v>
          </cell>
          <cell r="CN91">
            <v>-10079.66</v>
          </cell>
          <cell r="CO91">
            <v>-9966.93</v>
          </cell>
          <cell r="CP91">
            <v>-10549.44</v>
          </cell>
          <cell r="CQ91">
            <v>-10475.83</v>
          </cell>
          <cell r="CR91">
            <v>-11165.05</v>
          </cell>
          <cell r="CS91">
            <v>-10147.950000000001</v>
          </cell>
          <cell r="CT91">
            <v>-10867.84</v>
          </cell>
          <cell r="CU91">
            <v>-10353.17</v>
          </cell>
          <cell r="CV91">
            <v>-11104.06</v>
          </cell>
          <cell r="CW91">
            <v>-9805.8700000000008</v>
          </cell>
          <cell r="CX91">
            <v>-10034.67</v>
          </cell>
          <cell r="CY91">
            <v>-9991.59</v>
          </cell>
          <cell r="CZ91">
            <v>-11206.67</v>
          </cell>
          <cell r="DA91">
            <v>-9504</v>
          </cell>
          <cell r="DB91">
            <v>-10084.67</v>
          </cell>
          <cell r="DC91">
            <v>-10182</v>
          </cell>
          <cell r="DD91">
            <v>-10722.25</v>
          </cell>
          <cell r="DE91">
            <v>-11798.16</v>
          </cell>
          <cell r="DF91">
            <v>-9468.82</v>
          </cell>
          <cell r="DG91">
            <v>-10760.09</v>
          </cell>
          <cell r="DH91">
            <v>-124662.85</v>
          </cell>
        </row>
        <row r="92">
          <cell r="A92" t="str">
            <v>4893005</v>
          </cell>
          <cell r="B92" t="str">
            <v>4893005</v>
          </cell>
          <cell r="C92" t="str">
            <v>Comm StLgt Trn Swing</v>
          </cell>
          <cell r="D92">
            <v>-557.91</v>
          </cell>
          <cell r="E92">
            <v>-534.58000000000004</v>
          </cell>
          <cell r="F92">
            <v>-507.97</v>
          </cell>
          <cell r="G92">
            <v>-521.04999999999995</v>
          </cell>
          <cell r="H92">
            <v>-515.33000000000004</v>
          </cell>
          <cell r="I92">
            <v>-569.94000000000005</v>
          </cell>
          <cell r="J92">
            <v>-529.20000000000005</v>
          </cell>
          <cell r="K92">
            <v>-528.76</v>
          </cell>
          <cell r="L92">
            <v>-574.71</v>
          </cell>
          <cell r="M92">
            <v>-551.39</v>
          </cell>
          <cell r="N92">
            <v>-530.71</v>
          </cell>
          <cell r="O92">
            <v>-498.66</v>
          </cell>
          <cell r="P92">
            <v>-586.72</v>
          </cell>
          <cell r="Q92">
            <v>-551.79</v>
          </cell>
          <cell r="R92">
            <v>-549.91999999999996</v>
          </cell>
          <cell r="S92">
            <v>-521.65</v>
          </cell>
          <cell r="T92">
            <v>-526.85</v>
          </cell>
          <cell r="U92">
            <v>-601.84</v>
          </cell>
          <cell r="V92">
            <v>-519.73</v>
          </cell>
          <cell r="W92">
            <v>-583.91999999999996</v>
          </cell>
          <cell r="X92">
            <v>-535.95000000000005</v>
          </cell>
          <cell r="Y92">
            <v>-541.9</v>
          </cell>
          <cell r="Z92">
            <v>-484.25</v>
          </cell>
          <cell r="AA92">
            <v>-310.85000000000002</v>
          </cell>
          <cell r="AB92">
            <v>-342.35</v>
          </cell>
          <cell r="AC92">
            <v>-314.18</v>
          </cell>
          <cell r="AD92">
            <v>-301</v>
          </cell>
          <cell r="AE92">
            <v>-321.87</v>
          </cell>
          <cell r="AF92">
            <v>-324.27</v>
          </cell>
          <cell r="AG92">
            <v>-315.77999999999997</v>
          </cell>
          <cell r="AH92">
            <v>-308.83</v>
          </cell>
          <cell r="AI92">
            <v>-302.83999999999997</v>
          </cell>
          <cell r="AJ92">
            <v>-327.78</v>
          </cell>
          <cell r="AK92">
            <v>-299.33999999999997</v>
          </cell>
          <cell r="AL92">
            <v>-280.12</v>
          </cell>
          <cell r="AM92">
            <v>-275.70999999999998</v>
          </cell>
          <cell r="AN92">
            <v>-321.86</v>
          </cell>
          <cell r="AO92">
            <v>-311.01</v>
          </cell>
          <cell r="AP92">
            <v>-305.58</v>
          </cell>
          <cell r="AQ92">
            <v>-292.85000000000002</v>
          </cell>
          <cell r="AR92">
            <v>-328.31</v>
          </cell>
          <cell r="AS92">
            <v>-313.35000000000002</v>
          </cell>
          <cell r="AT92">
            <v>-304.85000000000002</v>
          </cell>
          <cell r="AU92">
            <v>-308.27999999999997</v>
          </cell>
          <cell r="AV92">
            <v>-304.33999999999997</v>
          </cell>
          <cell r="AW92">
            <v>-263.88</v>
          </cell>
          <cell r="AX92">
            <v>-291.70999999999998</v>
          </cell>
          <cell r="AY92">
            <v>-316.02999999999997</v>
          </cell>
          <cell r="AZ92">
            <v>-425.91</v>
          </cell>
          <cell r="BA92">
            <v>-324.14</v>
          </cell>
          <cell r="BB92">
            <v>-297.41000000000003</v>
          </cell>
          <cell r="BC92">
            <v>-322.31</v>
          </cell>
          <cell r="BD92">
            <v>-309.19</v>
          </cell>
          <cell r="BE92">
            <v>-343.37</v>
          </cell>
          <cell r="BF92">
            <v>-314.41000000000003</v>
          </cell>
          <cell r="BG92">
            <v>140.72999999999999</v>
          </cell>
          <cell r="BH92">
            <v>-324.45999999999998</v>
          </cell>
          <cell r="BI92">
            <v>-280.06</v>
          </cell>
          <cell r="BJ92">
            <v>-313.20999999999998</v>
          </cell>
          <cell r="BK92">
            <v>-297.86</v>
          </cell>
          <cell r="BL92">
            <v>-323.82</v>
          </cell>
          <cell r="BM92">
            <v>-288.70999999999998</v>
          </cell>
          <cell r="BN92">
            <v>-297.36</v>
          </cell>
          <cell r="BO92">
            <v>-150.41</v>
          </cell>
          <cell r="BP92">
            <v>-305.85000000000002</v>
          </cell>
          <cell r="BQ92">
            <v>-285.25</v>
          </cell>
          <cell r="BR92">
            <v>-278.18</v>
          </cell>
          <cell r="BS92">
            <v>-286.41000000000003</v>
          </cell>
          <cell r="BT92">
            <v>-277.85000000000002</v>
          </cell>
          <cell r="BU92">
            <v>-270.63</v>
          </cell>
          <cell r="BV92">
            <v>-280.77</v>
          </cell>
          <cell r="BW92">
            <v>-271.2</v>
          </cell>
          <cell r="BX92">
            <v>-313.57</v>
          </cell>
          <cell r="BY92">
            <v>-274.13</v>
          </cell>
          <cell r="BZ92">
            <v>-277.88</v>
          </cell>
          <cell r="CA92">
            <v>-247.69</v>
          </cell>
          <cell r="CB92">
            <v>-270.8</v>
          </cell>
          <cell r="CC92">
            <v>-263.66000000000003</v>
          </cell>
          <cell r="CD92">
            <v>-277.45999999999998</v>
          </cell>
          <cell r="CE92">
            <v>-277.35000000000002</v>
          </cell>
          <cell r="CF92">
            <v>-264.67</v>
          </cell>
          <cell r="CG92">
            <v>-273.2</v>
          </cell>
          <cell r="CH92">
            <v>-282.97000000000003</v>
          </cell>
          <cell r="CI92">
            <v>-290.13</v>
          </cell>
          <cell r="CJ92">
            <v>-287.83999999999997</v>
          </cell>
          <cell r="CK92">
            <v>-250.25</v>
          </cell>
          <cell r="CL92">
            <v>-272.10000000000002</v>
          </cell>
          <cell r="CM92">
            <v>-278.51</v>
          </cell>
          <cell r="CN92">
            <v>-260.08999999999997</v>
          </cell>
          <cell r="CO92">
            <v>-257.2</v>
          </cell>
          <cell r="CP92">
            <v>-272.23</v>
          </cell>
          <cell r="CQ92">
            <v>-270.33</v>
          </cell>
          <cell r="CR92">
            <v>-288.13</v>
          </cell>
          <cell r="CS92">
            <v>-261.87</v>
          </cell>
          <cell r="CT92">
            <v>-280.44</v>
          </cell>
          <cell r="CU92">
            <v>-267.18</v>
          </cell>
          <cell r="CV92">
            <v>-286.54000000000002</v>
          </cell>
          <cell r="CW92">
            <v>-253.05</v>
          </cell>
          <cell r="CX92">
            <v>-258.95999999999998</v>
          </cell>
          <cell r="CY92">
            <v>-257.83999999999997</v>
          </cell>
          <cell r="CZ92">
            <v>-289.18</v>
          </cell>
          <cell r="DA92">
            <v>-245.24</v>
          </cell>
          <cell r="DB92">
            <v>-260.24</v>
          </cell>
          <cell r="DC92">
            <v>-262.75</v>
          </cell>
          <cell r="DD92">
            <v>-276.72000000000003</v>
          </cell>
          <cell r="DE92">
            <v>-304.45999999999998</v>
          </cell>
          <cell r="DF92">
            <v>-244.33</v>
          </cell>
          <cell r="DG92">
            <v>-277.64</v>
          </cell>
          <cell r="DH92">
            <v>-3216.9500000000003</v>
          </cell>
        </row>
        <row r="93">
          <cell r="A93" t="str">
            <v>4893008</v>
          </cell>
          <cell r="B93" t="str">
            <v>4893008</v>
          </cell>
          <cell r="C93" t="str">
            <v>GenSvc Sm Transp</v>
          </cell>
          <cell r="D93">
            <v>-214782.13</v>
          </cell>
          <cell r="E93">
            <v>-226778.46</v>
          </cell>
          <cell r="F93">
            <v>-173185.36</v>
          </cell>
          <cell r="G93">
            <v>-162219.87</v>
          </cell>
          <cell r="H93">
            <v>-147631.44</v>
          </cell>
          <cell r="I93">
            <v>-148427.9</v>
          </cell>
          <cell r="J93">
            <v>-144141.73000000001</v>
          </cell>
          <cell r="K93">
            <v>-140776.07999999999</v>
          </cell>
          <cell r="L93">
            <v>-169753.13</v>
          </cell>
          <cell r="M93">
            <v>-158558.37</v>
          </cell>
          <cell r="N93">
            <v>-170359.07</v>
          </cell>
          <cell r="O93">
            <v>-196211.59</v>
          </cell>
          <cell r="P93">
            <v>-212254.83</v>
          </cell>
          <cell r="Q93">
            <v>-214154.92</v>
          </cell>
          <cell r="R93">
            <v>-214938.26</v>
          </cell>
          <cell r="S93">
            <v>-162775.67999999999</v>
          </cell>
          <cell r="T93">
            <v>-159541.35999999999</v>
          </cell>
          <cell r="U93">
            <v>-170169.31</v>
          </cell>
          <cell r="V93">
            <v>-170784.88</v>
          </cell>
          <cell r="W93">
            <v>-175544.92</v>
          </cell>
          <cell r="X93">
            <v>-172813.55</v>
          </cell>
          <cell r="Y93">
            <v>-194074.1</v>
          </cell>
          <cell r="Z93">
            <v>-210498.4</v>
          </cell>
          <cell r="AA93">
            <v>-223321.05</v>
          </cell>
          <cell r="AB93">
            <v>-244937.91</v>
          </cell>
          <cell r="AC93">
            <v>-264200.46000000002</v>
          </cell>
          <cell r="AD93">
            <v>-194041.71</v>
          </cell>
          <cell r="AE93">
            <v>-197031.82</v>
          </cell>
          <cell r="AF93">
            <v>-187324.7</v>
          </cell>
          <cell r="AG93">
            <v>-178801.28</v>
          </cell>
          <cell r="AH93">
            <v>-164664.84</v>
          </cell>
          <cell r="AI93">
            <v>-172234.95</v>
          </cell>
          <cell r="AJ93">
            <v>-198834.05</v>
          </cell>
          <cell r="AK93">
            <v>-180899.57</v>
          </cell>
          <cell r="AL93">
            <v>-200886.05</v>
          </cell>
          <cell r="AM93">
            <v>-225276.54</v>
          </cell>
          <cell r="AN93">
            <v>-246317.87</v>
          </cell>
          <cell r="AO93">
            <v>-233514.62</v>
          </cell>
          <cell r="AP93">
            <v>-224400.66</v>
          </cell>
          <cell r="AQ93">
            <v>-240682.81</v>
          </cell>
          <cell r="AR93">
            <v>-205576.91</v>
          </cell>
          <cell r="AS93">
            <v>-199237.87</v>
          </cell>
          <cell r="AT93">
            <v>-189731.63</v>
          </cell>
          <cell r="AU93">
            <v>-192187</v>
          </cell>
          <cell r="AV93">
            <v>-214291.05</v>
          </cell>
          <cell r="AW93">
            <v>-205160.82</v>
          </cell>
          <cell r="AX93">
            <v>-230356.91</v>
          </cell>
          <cell r="AY93">
            <v>-243315.68</v>
          </cell>
          <cell r="AZ93">
            <v>-394720.39</v>
          </cell>
          <cell r="BA93">
            <v>-431613.74</v>
          </cell>
          <cell r="BB93">
            <v>-49830.17</v>
          </cell>
          <cell r="BC93">
            <v>-323707.03999999998</v>
          </cell>
          <cell r="BD93">
            <v>-218309.43</v>
          </cell>
          <cell r="BE93">
            <v>-220947.22</v>
          </cell>
          <cell r="BF93">
            <v>-211569.69</v>
          </cell>
          <cell r="BG93">
            <v>-204858.22</v>
          </cell>
          <cell r="BH93">
            <v>-235226.09</v>
          </cell>
          <cell r="BI93">
            <v>-220505.83</v>
          </cell>
          <cell r="BJ93">
            <v>-235971.18</v>
          </cell>
          <cell r="BK93">
            <v>-274952.15000000002</v>
          </cell>
          <cell r="BL93">
            <v>-294072.65000000002</v>
          </cell>
          <cell r="BM93">
            <v>-259927.02</v>
          </cell>
          <cell r="BN93">
            <v>-253285.42</v>
          </cell>
          <cell r="BO93">
            <v>-242645.86</v>
          </cell>
          <cell r="BP93">
            <v>-222011.06</v>
          </cell>
          <cell r="BQ93">
            <v>-219233.51</v>
          </cell>
          <cell r="BR93">
            <v>-189394.38</v>
          </cell>
          <cell r="BS93">
            <v>-254771.13</v>
          </cell>
          <cell r="BT93">
            <v>-128509.64</v>
          </cell>
          <cell r="BU93">
            <v>-230078.32</v>
          </cell>
          <cell r="BV93">
            <v>-243311.3</v>
          </cell>
          <cell r="BW93">
            <v>-252043.5</v>
          </cell>
          <cell r="BX93">
            <v>-273257.46000000002</v>
          </cell>
          <cell r="BY93">
            <v>-274315.11</v>
          </cell>
          <cell r="BZ93">
            <v>-245075.52</v>
          </cell>
          <cell r="CA93">
            <v>-177018.47</v>
          </cell>
          <cell r="CB93">
            <v>-168049.7</v>
          </cell>
          <cell r="CC93">
            <v>-193633.33</v>
          </cell>
          <cell r="CD93">
            <v>-183879.33</v>
          </cell>
          <cell r="CE93">
            <v>-188469.98</v>
          </cell>
          <cell r="CF93">
            <v>-186178.27</v>
          </cell>
          <cell r="CG93">
            <v>-198882.35</v>
          </cell>
          <cell r="CH93">
            <v>-210275.26</v>
          </cell>
          <cell r="CI93">
            <v>-263941.28999999998</v>
          </cell>
          <cell r="CJ93">
            <v>-388576.5</v>
          </cell>
          <cell r="CK93">
            <v>-329605.43</v>
          </cell>
          <cell r="CL93">
            <v>-340813.67</v>
          </cell>
          <cell r="CM93">
            <v>-283031.46000000002</v>
          </cell>
          <cell r="CN93">
            <v>-266287.78000000003</v>
          </cell>
          <cell r="CO93">
            <v>-253522.06</v>
          </cell>
          <cell r="CP93">
            <v>-295481.86</v>
          </cell>
          <cell r="CQ93">
            <v>-277514.45</v>
          </cell>
          <cell r="CR93">
            <v>-309065.09000000003</v>
          </cell>
          <cell r="CS93">
            <v>-301593.17</v>
          </cell>
          <cell r="CT93">
            <v>-345307.64</v>
          </cell>
          <cell r="CU93">
            <v>-385592.86</v>
          </cell>
          <cell r="CV93">
            <v>-377351.61</v>
          </cell>
          <cell r="CW93">
            <v>-420721.69</v>
          </cell>
          <cell r="CX93">
            <v>-348172.23</v>
          </cell>
          <cell r="CY93">
            <v>-342325.21</v>
          </cell>
          <cell r="CZ93">
            <v>-329838.73</v>
          </cell>
          <cell r="DA93">
            <v>-287571.86</v>
          </cell>
          <cell r="DB93">
            <v>-242056.53</v>
          </cell>
          <cell r="DC93">
            <v>-257461.77</v>
          </cell>
          <cell r="DD93">
            <v>-274203.13</v>
          </cell>
          <cell r="DE93">
            <v>-311189.09999999998</v>
          </cell>
          <cell r="DF93">
            <v>-293549.31</v>
          </cell>
          <cell r="DG93">
            <v>-339968.09</v>
          </cell>
          <cell r="DH93">
            <v>-3824409.26</v>
          </cell>
        </row>
        <row r="94">
          <cell r="A94" t="str">
            <v>4893009</v>
          </cell>
          <cell r="B94" t="str">
            <v>4893009</v>
          </cell>
          <cell r="C94" t="str">
            <v>GS Sm Transp Swing</v>
          </cell>
          <cell r="D94">
            <v>-10661.03</v>
          </cell>
          <cell r="E94">
            <v>-12313.61</v>
          </cell>
          <cell r="F94">
            <v>-9839.6299999999992</v>
          </cell>
          <cell r="G94">
            <v>-8462.9699999999993</v>
          </cell>
          <cell r="H94">
            <v>-7238.07</v>
          </cell>
          <cell r="I94">
            <v>-6831.51</v>
          </cell>
          <cell r="J94">
            <v>-5824.96</v>
          </cell>
          <cell r="K94">
            <v>-5513.33</v>
          </cell>
          <cell r="L94">
            <v>-7032.35</v>
          </cell>
          <cell r="M94">
            <v>-6918.63</v>
          </cell>
          <cell r="N94">
            <v>-7544.24</v>
          </cell>
          <cell r="O94">
            <v>-9174.48</v>
          </cell>
          <cell r="P94">
            <v>-10595.86</v>
          </cell>
          <cell r="Q94">
            <v>-11173.42</v>
          </cell>
          <cell r="R94">
            <v>-11426.91</v>
          </cell>
          <cell r="S94">
            <v>-8603.4</v>
          </cell>
          <cell r="T94">
            <v>-7485.97</v>
          </cell>
          <cell r="U94">
            <v>-7685.84</v>
          </cell>
          <cell r="V94">
            <v>-6131.62</v>
          </cell>
          <cell r="W94">
            <v>-6575.88</v>
          </cell>
          <cell r="X94">
            <v>-6737.64</v>
          </cell>
          <cell r="Y94">
            <v>-7276.66</v>
          </cell>
          <cell r="Z94">
            <v>-7814.59</v>
          </cell>
          <cell r="AA94">
            <v>-12708.24</v>
          </cell>
          <cell r="AB94">
            <v>-14864.28</v>
          </cell>
          <cell r="AC94">
            <v>-18376.13</v>
          </cell>
          <cell r="AD94">
            <v>-15856.57</v>
          </cell>
          <cell r="AE94">
            <v>-13493.62</v>
          </cell>
          <cell r="AF94">
            <v>-12324.57</v>
          </cell>
          <cell r="AG94">
            <v>-11298.72</v>
          </cell>
          <cell r="AH94">
            <v>-8868.09</v>
          </cell>
          <cell r="AI94">
            <v>-8982.98</v>
          </cell>
          <cell r="AJ94">
            <v>-11030.21</v>
          </cell>
          <cell r="AK94">
            <v>-10319.31</v>
          </cell>
          <cell r="AL94">
            <v>-11594.29</v>
          </cell>
          <cell r="AM94">
            <v>-13893.95</v>
          </cell>
          <cell r="AN94">
            <v>-16289.82</v>
          </cell>
          <cell r="AO94">
            <v>-16092.97</v>
          </cell>
          <cell r="AP94">
            <v>-15244.12</v>
          </cell>
          <cell r="AQ94">
            <v>-16191.11</v>
          </cell>
          <cell r="AR94">
            <v>-13886.13</v>
          </cell>
          <cell r="AS94">
            <v>-12602.78</v>
          </cell>
          <cell r="AT94">
            <v>-9993.27</v>
          </cell>
          <cell r="AU94">
            <v>-9921.17</v>
          </cell>
          <cell r="AV94">
            <v>-11763.62</v>
          </cell>
          <cell r="AW94">
            <v>-11169.37</v>
          </cell>
          <cell r="AX94">
            <v>-13647.07</v>
          </cell>
          <cell r="AY94">
            <v>-15630.72</v>
          </cell>
          <cell r="AZ94">
            <v>-27204.400000000001</v>
          </cell>
          <cell r="BA94">
            <v>-34050.129999999997</v>
          </cell>
          <cell r="BB94">
            <v>-7224.65</v>
          </cell>
          <cell r="BC94">
            <v>-19197.349999999999</v>
          </cell>
          <cell r="BD94">
            <v>-15061.96</v>
          </cell>
          <cell r="BE94">
            <v>-14394.88</v>
          </cell>
          <cell r="BF94">
            <v>-11739.44</v>
          </cell>
          <cell r="BG94">
            <v>-11096.12</v>
          </cell>
          <cell r="BH94">
            <v>-13524.38</v>
          </cell>
          <cell r="BI94">
            <v>-12444.07</v>
          </cell>
          <cell r="BJ94">
            <v>-13474.12</v>
          </cell>
          <cell r="BK94">
            <v>-17698.07</v>
          </cell>
          <cell r="BL94">
            <v>-21628.97</v>
          </cell>
          <cell r="BM94">
            <v>-21398.23</v>
          </cell>
          <cell r="BN94">
            <v>-17814.599999999999</v>
          </cell>
          <cell r="BO94">
            <v>-17290.810000000001</v>
          </cell>
          <cell r="BP94">
            <v>-15525.64</v>
          </cell>
          <cell r="BQ94">
            <v>-14641.9</v>
          </cell>
          <cell r="BR94">
            <v>-11514.78</v>
          </cell>
          <cell r="BS94">
            <v>-15885.21</v>
          </cell>
          <cell r="BT94">
            <v>-7331.6</v>
          </cell>
          <cell r="BU94">
            <v>-12551.75</v>
          </cell>
          <cell r="BV94">
            <v>-14134.63</v>
          </cell>
          <cell r="BW94">
            <v>-17811.79</v>
          </cell>
          <cell r="BX94">
            <v>-19336.59</v>
          </cell>
          <cell r="BY94">
            <v>-20230.919999999998</v>
          </cell>
          <cell r="BZ94">
            <v>-18781.05</v>
          </cell>
          <cell r="CA94">
            <v>-11563.74</v>
          </cell>
          <cell r="CB94">
            <v>-9130.68</v>
          </cell>
          <cell r="CC94">
            <v>-10389.64</v>
          </cell>
          <cell r="CD94">
            <v>-10073.36</v>
          </cell>
          <cell r="CE94">
            <v>-10343.61</v>
          </cell>
          <cell r="CF94">
            <v>-10342.69</v>
          </cell>
          <cell r="CG94">
            <v>-11248.19</v>
          </cell>
          <cell r="CH94">
            <v>-12787.82</v>
          </cell>
          <cell r="CI94">
            <v>-16153.44</v>
          </cell>
          <cell r="CJ94">
            <v>-21863.26</v>
          </cell>
          <cell r="CK94">
            <v>-21928.9</v>
          </cell>
          <cell r="CL94">
            <v>-20542.11</v>
          </cell>
          <cell r="CM94">
            <v>-17198.8</v>
          </cell>
          <cell r="CN94">
            <v>-14955.61</v>
          </cell>
          <cell r="CO94">
            <v>-13433.27</v>
          </cell>
          <cell r="CP94">
            <v>-12769.54</v>
          </cell>
          <cell r="CQ94">
            <v>-12422.68</v>
          </cell>
          <cell r="CR94">
            <v>-14427.63</v>
          </cell>
          <cell r="CS94">
            <v>-14517.69</v>
          </cell>
          <cell r="CT94">
            <v>-17773.62</v>
          </cell>
          <cell r="CU94">
            <v>-21534.94</v>
          </cell>
          <cell r="CV94">
            <v>-20935.650000000001</v>
          </cell>
          <cell r="CW94">
            <v>-26294.880000000001</v>
          </cell>
          <cell r="CX94">
            <v>-21876.35</v>
          </cell>
          <cell r="CY94">
            <v>-20125.89</v>
          </cell>
          <cell r="CZ94">
            <v>-18655.580000000002</v>
          </cell>
          <cell r="DA94">
            <v>-15504.47</v>
          </cell>
          <cell r="DB94">
            <v>-11084.8</v>
          </cell>
          <cell r="DC94">
            <v>-10867.48</v>
          </cell>
          <cell r="DD94">
            <v>-12575.29</v>
          </cell>
          <cell r="DE94">
            <v>-14335.97</v>
          </cell>
          <cell r="DF94">
            <v>-14393.76</v>
          </cell>
          <cell r="DG94">
            <v>-17488.09</v>
          </cell>
          <cell r="DH94">
            <v>-204138.21000000002</v>
          </cell>
        </row>
        <row r="95">
          <cell r="A95">
            <v>4893033</v>
          </cell>
          <cell r="B95">
            <v>4893033</v>
          </cell>
          <cell r="C95" t="str">
            <v>Commercial Gas Heat Pump Transportation</v>
          </cell>
          <cell r="CJ95">
            <v>-45</v>
          </cell>
          <cell r="CK95">
            <v>-45</v>
          </cell>
          <cell r="CL95">
            <v>-45</v>
          </cell>
          <cell r="CM95">
            <v>-48.88</v>
          </cell>
          <cell r="CN95">
            <v>-48.2</v>
          </cell>
          <cell r="CO95">
            <v>-45.45</v>
          </cell>
          <cell r="CP95">
            <v>-47.06</v>
          </cell>
          <cell r="CQ95">
            <v>-47.06</v>
          </cell>
          <cell r="CR95">
            <v>-45.24</v>
          </cell>
          <cell r="CS95">
            <v>-45.24</v>
          </cell>
          <cell r="CT95">
            <v>-45.45</v>
          </cell>
          <cell r="CU95">
            <v>-53.69</v>
          </cell>
          <cell r="CV95">
            <v>-59.57</v>
          </cell>
          <cell r="CW95">
            <v>-61.17</v>
          </cell>
          <cell r="CX95">
            <v>-64.61</v>
          </cell>
          <cell r="CY95">
            <v>-52.29</v>
          </cell>
          <cell r="CZ95">
            <v>-45</v>
          </cell>
          <cell r="DA95">
            <v>-48.86</v>
          </cell>
          <cell r="DB95">
            <v>-46.14</v>
          </cell>
          <cell r="DC95">
            <v>-45</v>
          </cell>
          <cell r="DD95">
            <v>-45</v>
          </cell>
          <cell r="DE95">
            <v>-87.97</v>
          </cell>
          <cell r="DF95">
            <v>-189.61</v>
          </cell>
          <cell r="DG95">
            <v>-302.12</v>
          </cell>
          <cell r="DH95">
            <v>-1047.3400000000001</v>
          </cell>
        </row>
        <row r="96">
          <cell r="A96">
            <v>4893034</v>
          </cell>
          <cell r="B96">
            <v>4893034</v>
          </cell>
          <cell r="C96" t="str">
            <v>Commercial Gas Heat Pump Transportation-Swing</v>
          </cell>
          <cell r="CM96">
            <v>-0.41</v>
          </cell>
          <cell r="CN96">
            <v>-0.34</v>
          </cell>
          <cell r="CO96">
            <v>-0.05</v>
          </cell>
          <cell r="CP96">
            <v>-0.22</v>
          </cell>
          <cell r="CQ96">
            <v>-0.22</v>
          </cell>
          <cell r="CR96">
            <v>-0.02</v>
          </cell>
          <cell r="CS96">
            <v>-0.02</v>
          </cell>
          <cell r="CT96">
            <v>-0.05</v>
          </cell>
          <cell r="CU96">
            <v>-0.92</v>
          </cell>
          <cell r="CV96">
            <v>-1.55</v>
          </cell>
          <cell r="CW96">
            <v>-1.72</v>
          </cell>
          <cell r="CX96">
            <v>-2.08</v>
          </cell>
          <cell r="CY96">
            <v>-0.77</v>
          </cell>
          <cell r="CZ96">
            <v>0</v>
          </cell>
          <cell r="DA96">
            <v>-0.41</v>
          </cell>
          <cell r="DB96">
            <v>-0.12</v>
          </cell>
          <cell r="DC96">
            <v>0</v>
          </cell>
          <cell r="DD96">
            <v>0</v>
          </cell>
          <cell r="DE96">
            <v>-4.5599999999999996</v>
          </cell>
          <cell r="DF96">
            <v>-15.34</v>
          </cell>
          <cell r="DG96">
            <v>-27.28</v>
          </cell>
          <cell r="DH96">
            <v>-53.83</v>
          </cell>
        </row>
        <row r="97">
          <cell r="A97" t="str">
            <v>4893035</v>
          </cell>
          <cell r="B97" t="str">
            <v>4893035</v>
          </cell>
          <cell r="C97" t="str">
            <v>Comm TrnspStandbyGen</v>
          </cell>
          <cell r="D97">
            <v>-4066.82</v>
          </cell>
          <cell r="E97">
            <v>-4112.2700000000004</v>
          </cell>
          <cell r="F97">
            <v>-4011.36</v>
          </cell>
          <cell r="G97">
            <v>-4033.34</v>
          </cell>
          <cell r="H97">
            <v>-4182.9399999999996</v>
          </cell>
          <cell r="I97">
            <v>-4353.8999999999996</v>
          </cell>
          <cell r="J97">
            <v>-4118.38</v>
          </cell>
          <cell r="K97">
            <v>-4267.87</v>
          </cell>
          <cell r="L97">
            <v>-4549.04</v>
          </cell>
          <cell r="M97">
            <v>-4871.57</v>
          </cell>
          <cell r="N97">
            <v>-5005.38</v>
          </cell>
          <cell r="O97">
            <v>-5518.28</v>
          </cell>
          <cell r="P97">
            <v>-4960.3100000000004</v>
          </cell>
          <cell r="Q97">
            <v>-5079.29</v>
          </cell>
          <cell r="R97">
            <v>-5537.25</v>
          </cell>
          <cell r="S97">
            <v>-5064.75</v>
          </cell>
          <cell r="T97">
            <v>-5182.05</v>
          </cell>
          <cell r="U97">
            <v>-5009.9799999999996</v>
          </cell>
          <cell r="V97">
            <v>-4948.8999999999996</v>
          </cell>
          <cell r="W97">
            <v>-4657.43</v>
          </cell>
          <cell r="X97">
            <v>-4620.1000000000004</v>
          </cell>
          <cell r="Y97">
            <v>-4806.76</v>
          </cell>
          <cell r="Z97">
            <v>-5526.98</v>
          </cell>
          <cell r="AA97">
            <v>-5817.22</v>
          </cell>
          <cell r="AB97">
            <v>-6136.79</v>
          </cell>
          <cell r="AC97">
            <v>-6541.69</v>
          </cell>
          <cell r="AD97">
            <v>-6580.02</v>
          </cell>
          <cell r="AE97">
            <v>-6571.03</v>
          </cell>
          <cell r="AF97">
            <v>-6746.62</v>
          </cell>
          <cell r="AG97">
            <v>-6600.13</v>
          </cell>
          <cell r="AH97">
            <v>-6793.27</v>
          </cell>
          <cell r="AI97">
            <v>-6603.01</v>
          </cell>
          <cell r="AJ97">
            <v>-6447.51</v>
          </cell>
          <cell r="AK97">
            <v>-6501.12</v>
          </cell>
          <cell r="AL97">
            <v>-6567</v>
          </cell>
          <cell r="AM97">
            <v>-5844.79</v>
          </cell>
          <cell r="AN97">
            <v>-5894.07</v>
          </cell>
          <cell r="AO97">
            <v>-6711.93</v>
          </cell>
          <cell r="AP97">
            <v>-6186.94</v>
          </cell>
          <cell r="AQ97">
            <v>-6270.72</v>
          </cell>
          <cell r="AR97">
            <v>-6302.84</v>
          </cell>
          <cell r="AS97">
            <v>-6110.5</v>
          </cell>
          <cell r="AT97">
            <v>-6270.49</v>
          </cell>
          <cell r="AU97">
            <v>-6289.9</v>
          </cell>
          <cell r="AV97">
            <v>-7048.02</v>
          </cell>
          <cell r="AW97">
            <v>-6667.72</v>
          </cell>
          <cell r="AX97">
            <v>-7938.26</v>
          </cell>
          <cell r="AY97">
            <v>-5305.7</v>
          </cell>
          <cell r="AZ97">
            <v>-5974.62</v>
          </cell>
          <cell r="BA97">
            <v>-6005.62</v>
          </cell>
          <cell r="BB97">
            <v>-9399.19</v>
          </cell>
          <cell r="BC97">
            <v>-13586.84</v>
          </cell>
          <cell r="BD97">
            <v>-12521.68</v>
          </cell>
          <cell r="BE97">
            <v>-8579.8799999999992</v>
          </cell>
          <cell r="BF97">
            <v>-9160.7000000000007</v>
          </cell>
          <cell r="BG97">
            <v>-9233.59</v>
          </cell>
          <cell r="BH97">
            <v>-8611.6299999999992</v>
          </cell>
          <cell r="BI97">
            <v>-8747.66</v>
          </cell>
          <cell r="BJ97">
            <v>-250.19</v>
          </cell>
          <cell r="BK97">
            <v>-7732.14</v>
          </cell>
          <cell r="BL97">
            <v>-8227.2199999999993</v>
          </cell>
          <cell r="BM97">
            <v>-8067.59</v>
          </cell>
          <cell r="BN97">
            <v>-8433.85</v>
          </cell>
          <cell r="BO97">
            <v>-7616.84</v>
          </cell>
          <cell r="BP97">
            <v>-7708.6</v>
          </cell>
          <cell r="BQ97">
            <v>-7718.37</v>
          </cell>
          <cell r="BR97">
            <v>-8227.81</v>
          </cell>
          <cell r="BS97">
            <v>-8428.76</v>
          </cell>
          <cell r="BT97">
            <v>-9057.4599999999991</v>
          </cell>
          <cell r="BU97">
            <v>-7513.35</v>
          </cell>
          <cell r="BV97">
            <v>-8162.23</v>
          </cell>
          <cell r="BW97">
            <v>-9786.09</v>
          </cell>
          <cell r="BX97">
            <v>-8841.6299999999992</v>
          </cell>
          <cell r="BY97">
            <v>-8688.67</v>
          </cell>
          <cell r="BZ97">
            <v>-14756.15</v>
          </cell>
          <cell r="CA97">
            <v>-10004.780000000001</v>
          </cell>
          <cell r="CB97">
            <v>-10375.16</v>
          </cell>
          <cell r="CC97">
            <v>-8814.25</v>
          </cell>
          <cell r="CD97">
            <v>-9499.41</v>
          </cell>
          <cell r="CE97">
            <v>-9787.9</v>
          </cell>
          <cell r="CF97">
            <v>-10100.85</v>
          </cell>
          <cell r="CG97">
            <v>-10474.52</v>
          </cell>
          <cell r="CH97">
            <v>-10885.53</v>
          </cell>
          <cell r="CI97">
            <v>-12455.7</v>
          </cell>
          <cell r="CJ97">
            <v>-18989.810000000001</v>
          </cell>
          <cell r="CK97">
            <v>-18173.37</v>
          </cell>
          <cell r="CL97">
            <v>-17512.86</v>
          </cell>
          <cell r="CM97">
            <v>-18017.759999999998</v>
          </cell>
          <cell r="CN97">
            <v>-16459.45</v>
          </cell>
          <cell r="CO97">
            <v>-14731.2</v>
          </cell>
          <cell r="CP97">
            <v>-14204.18</v>
          </cell>
          <cell r="CQ97">
            <v>-13370.51</v>
          </cell>
          <cell r="CR97">
            <v>-13819.62</v>
          </cell>
          <cell r="CS97">
            <v>-14221.55</v>
          </cell>
          <cell r="CT97">
            <v>-15178.19</v>
          </cell>
          <cell r="CU97">
            <v>-16440.11</v>
          </cell>
          <cell r="CV97">
            <v>-17969.830000000002</v>
          </cell>
          <cell r="CW97">
            <v>-16996.259999999998</v>
          </cell>
          <cell r="CX97">
            <v>-17000.099999999999</v>
          </cell>
          <cell r="CY97">
            <v>-15897.56</v>
          </cell>
          <cell r="CZ97">
            <v>-14913.89</v>
          </cell>
          <cell r="DA97">
            <v>-15566.27</v>
          </cell>
          <cell r="DB97">
            <v>-14196.31</v>
          </cell>
          <cell r="DC97">
            <v>-15880.52</v>
          </cell>
          <cell r="DD97">
            <v>-13742.85</v>
          </cell>
          <cell r="DE97">
            <v>-21122.7</v>
          </cell>
          <cell r="DF97">
            <v>-24709.72</v>
          </cell>
          <cell r="DG97">
            <v>-18819.099999999999</v>
          </cell>
          <cell r="DH97">
            <v>-206815.11000000002</v>
          </cell>
        </row>
        <row r="98">
          <cell r="A98" t="str">
            <v>4893036</v>
          </cell>
          <cell r="B98" t="str">
            <v>4893036</v>
          </cell>
          <cell r="C98" t="str">
            <v>Com TrpStByGen Swing</v>
          </cell>
          <cell r="D98">
            <v>-145.75</v>
          </cell>
          <cell r="E98">
            <v>-145.84</v>
          </cell>
          <cell r="F98">
            <v>-130.66999999999999</v>
          </cell>
          <cell r="G98">
            <v>-134.43</v>
          </cell>
          <cell r="H98">
            <v>-146.77000000000001</v>
          </cell>
          <cell r="I98">
            <v>-160.38</v>
          </cell>
          <cell r="J98">
            <v>-121.29</v>
          </cell>
          <cell r="K98">
            <v>-121.82</v>
          </cell>
          <cell r="L98">
            <v>-144.1</v>
          </cell>
          <cell r="M98">
            <v>-162.08000000000001</v>
          </cell>
          <cell r="N98">
            <v>-172.98</v>
          </cell>
          <cell r="O98">
            <v>-218.6</v>
          </cell>
          <cell r="P98">
            <v>-171.31</v>
          </cell>
          <cell r="Q98">
            <v>-183.94</v>
          </cell>
          <cell r="R98">
            <v>-223.72</v>
          </cell>
          <cell r="S98">
            <v>-178.08</v>
          </cell>
          <cell r="T98">
            <v>-177.17</v>
          </cell>
          <cell r="U98">
            <v>-171.47</v>
          </cell>
          <cell r="V98">
            <v>-163.82</v>
          </cell>
          <cell r="W98">
            <v>-142.72</v>
          </cell>
          <cell r="X98">
            <v>-140.52000000000001</v>
          </cell>
          <cell r="Y98">
            <v>-148.32</v>
          </cell>
          <cell r="Z98">
            <v>-176.16</v>
          </cell>
          <cell r="AA98">
            <v>-262.60000000000002</v>
          </cell>
          <cell r="AB98">
            <v>-285.14999999999998</v>
          </cell>
          <cell r="AC98">
            <v>-333.2</v>
          </cell>
          <cell r="AD98">
            <v>-332.28</v>
          </cell>
          <cell r="AE98">
            <v>-330.73</v>
          </cell>
          <cell r="AF98">
            <v>-343.31</v>
          </cell>
          <cell r="AG98">
            <v>-331.29</v>
          </cell>
          <cell r="AH98">
            <v>-349</v>
          </cell>
          <cell r="AI98">
            <v>-328.21</v>
          </cell>
          <cell r="AJ98">
            <v>-301.16000000000003</v>
          </cell>
          <cell r="AK98">
            <v>-304.52999999999997</v>
          </cell>
          <cell r="AL98">
            <v>-317.64</v>
          </cell>
          <cell r="AM98">
            <v>-240.81</v>
          </cell>
          <cell r="AN98">
            <v>-262.83999999999997</v>
          </cell>
          <cell r="AO98">
            <v>-307.95999999999998</v>
          </cell>
          <cell r="AP98">
            <v>-267.31</v>
          </cell>
          <cell r="AQ98">
            <v>-282.13</v>
          </cell>
          <cell r="AR98">
            <v>-257.41000000000003</v>
          </cell>
          <cell r="AS98">
            <v>-260.37</v>
          </cell>
          <cell r="AT98">
            <v>-239.64</v>
          </cell>
          <cell r="AU98">
            <v>-206.07</v>
          </cell>
          <cell r="AV98">
            <v>-383.14</v>
          </cell>
          <cell r="AW98">
            <v>-345.76</v>
          </cell>
          <cell r="AX98">
            <v>-473.28</v>
          </cell>
          <cell r="AY98">
            <v>-212.93</v>
          </cell>
          <cell r="AZ98">
            <v>-248.95</v>
          </cell>
          <cell r="BA98">
            <v>-260.99</v>
          </cell>
          <cell r="BB98">
            <v>-620.66</v>
          </cell>
          <cell r="BC98">
            <v>-607</v>
          </cell>
          <cell r="BD98">
            <v>-870.1</v>
          </cell>
          <cell r="BE98">
            <v>-536.72</v>
          </cell>
          <cell r="BF98">
            <v>-604.79999999999995</v>
          </cell>
          <cell r="BG98">
            <v>-590.37</v>
          </cell>
          <cell r="BH98">
            <v>-523.32000000000005</v>
          </cell>
          <cell r="BI98">
            <v>-540.49</v>
          </cell>
          <cell r="BJ98">
            <v>410.52</v>
          </cell>
          <cell r="BK98">
            <v>-414.21</v>
          </cell>
          <cell r="BL98">
            <v>-262.24</v>
          </cell>
          <cell r="BM98">
            <v>-238.75</v>
          </cell>
          <cell r="BN98">
            <v>-259.87</v>
          </cell>
          <cell r="BO98">
            <v>-215.26</v>
          </cell>
          <cell r="BP98">
            <v>-221.24</v>
          </cell>
          <cell r="BQ98">
            <v>-218.23</v>
          </cell>
          <cell r="BR98">
            <v>-245.43</v>
          </cell>
          <cell r="BS98">
            <v>-256.82</v>
          </cell>
          <cell r="BT98">
            <v>-294.75</v>
          </cell>
          <cell r="BU98">
            <v>-191.75</v>
          </cell>
          <cell r="BV98">
            <v>-226.5</v>
          </cell>
          <cell r="BW98">
            <v>-308.47000000000003</v>
          </cell>
          <cell r="BX98">
            <v>-259.52</v>
          </cell>
          <cell r="BY98">
            <v>-260.79000000000002</v>
          </cell>
          <cell r="BZ98">
            <v>-630.44000000000005</v>
          </cell>
          <cell r="CA98">
            <v>-341.55</v>
          </cell>
          <cell r="CB98">
            <v>-334.27</v>
          </cell>
          <cell r="CC98">
            <v>-264.24</v>
          </cell>
          <cell r="CD98">
            <v>-303.05</v>
          </cell>
          <cell r="CE98">
            <v>-321.62</v>
          </cell>
          <cell r="CF98">
            <v>-340.8</v>
          </cell>
          <cell r="CG98">
            <v>-315.48</v>
          </cell>
          <cell r="CH98">
            <v>-387.4</v>
          </cell>
          <cell r="CI98">
            <v>-493.12</v>
          </cell>
          <cell r="CJ98">
            <v>-609</v>
          </cell>
          <cell r="CK98">
            <v>-555.14</v>
          </cell>
          <cell r="CL98">
            <v>-539.37</v>
          </cell>
          <cell r="CM98">
            <v>-564.79999999999995</v>
          </cell>
          <cell r="CN98">
            <v>-488.62</v>
          </cell>
          <cell r="CO98">
            <v>-376.36</v>
          </cell>
          <cell r="CP98">
            <v>-376.43</v>
          </cell>
          <cell r="CQ98">
            <v>-337.18</v>
          </cell>
          <cell r="CR98">
            <v>-358.27</v>
          </cell>
          <cell r="CS98">
            <v>-360.17</v>
          </cell>
          <cell r="CT98">
            <v>-419.25</v>
          </cell>
          <cell r="CU98">
            <v>-486.71</v>
          </cell>
          <cell r="CV98">
            <v>-560</v>
          </cell>
          <cell r="CW98">
            <v>-499.37</v>
          </cell>
          <cell r="CX98">
            <v>-505.8</v>
          </cell>
          <cell r="CY98">
            <v>-456.35</v>
          </cell>
          <cell r="CZ98">
            <v>-390.8</v>
          </cell>
          <cell r="DA98">
            <v>-437.55</v>
          </cell>
          <cell r="DB98">
            <v>-363.35</v>
          </cell>
          <cell r="DC98">
            <v>-432.7</v>
          </cell>
          <cell r="DD98">
            <v>-349.74</v>
          </cell>
          <cell r="DE98">
            <v>-724.69</v>
          </cell>
          <cell r="DF98">
            <v>-885.5</v>
          </cell>
          <cell r="DG98">
            <v>-582.41999999999996</v>
          </cell>
          <cell r="DH98">
            <v>-6188.27</v>
          </cell>
        </row>
        <row r="99">
          <cell r="A99" t="str">
            <v>4893037</v>
          </cell>
          <cell r="B99" t="str">
            <v>4893037</v>
          </cell>
          <cell r="C99" t="str">
            <v>Residential Transportation Gas Heat Pump</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-162.19</v>
          </cell>
          <cell r="CG99">
            <v>-49.39</v>
          </cell>
          <cell r="CH99">
            <v>-51.75</v>
          </cell>
          <cell r="CI99">
            <v>-41.61</v>
          </cell>
          <cell r="CJ99">
            <v>-35.57</v>
          </cell>
          <cell r="CK99">
            <v>-32.22</v>
          </cell>
          <cell r="CL99">
            <v>-41.72</v>
          </cell>
          <cell r="CM99">
            <v>-42.41</v>
          </cell>
          <cell r="CN99">
            <v>-49.73</v>
          </cell>
          <cell r="CO99">
            <v>-54.92</v>
          </cell>
          <cell r="CP99">
            <v>-181.64</v>
          </cell>
          <cell r="CQ99">
            <v>-86.54</v>
          </cell>
          <cell r="CR99">
            <v>-145.44</v>
          </cell>
          <cell r="CS99">
            <v>-116.33</v>
          </cell>
          <cell r="CT99">
            <v>-107.39</v>
          </cell>
          <cell r="CU99">
            <v>-96.61</v>
          </cell>
          <cell r="CV99">
            <v>-89.11</v>
          </cell>
          <cell r="CW99">
            <v>-73.3</v>
          </cell>
          <cell r="CX99">
            <v>-83.57</v>
          </cell>
          <cell r="CY99">
            <v>-97.13</v>
          </cell>
          <cell r="CZ99">
            <v>-101.99</v>
          </cell>
          <cell r="DA99">
            <v>-119.85</v>
          </cell>
          <cell r="DB99">
            <v>-120.19</v>
          </cell>
          <cell r="DC99">
            <v>-123.83</v>
          </cell>
          <cell r="DD99">
            <v>-125.93</v>
          </cell>
          <cell r="DE99">
            <v>-107.84</v>
          </cell>
          <cell r="DF99">
            <v>-103.41</v>
          </cell>
          <cell r="DG99">
            <v>-94.54</v>
          </cell>
          <cell r="DH99">
            <v>-1240.69</v>
          </cell>
        </row>
        <row r="100">
          <cell r="A100" t="str">
            <v>4893038</v>
          </cell>
          <cell r="B100" t="str">
            <v>4893038</v>
          </cell>
          <cell r="C100" t="str">
            <v>Residential Transportation Gas Heat Pump-Swing</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-42.51</v>
          </cell>
          <cell r="CG100">
            <v>-12.28</v>
          </cell>
          <cell r="CH100">
            <v>-13.23</v>
          </cell>
          <cell r="CI100">
            <v>-9.14</v>
          </cell>
          <cell r="CJ100">
            <v>-4.43</v>
          </cell>
          <cell r="CK100">
            <v>-3.08</v>
          </cell>
          <cell r="CL100">
            <v>-6.92</v>
          </cell>
          <cell r="CM100">
            <v>-7.2</v>
          </cell>
          <cell r="CN100">
            <v>-10.16</v>
          </cell>
          <cell r="CO100">
            <v>-12.26</v>
          </cell>
          <cell r="CP100">
            <v>-23.7</v>
          </cell>
          <cell r="CQ100">
            <v>-15.09</v>
          </cell>
          <cell r="CR100">
            <v>-38.909999999999997</v>
          </cell>
          <cell r="CS100">
            <v>-27.14</v>
          </cell>
          <cell r="CT100">
            <v>-23.53</v>
          </cell>
          <cell r="CU100">
            <v>-19.170000000000002</v>
          </cell>
          <cell r="CV100">
            <v>-16.13</v>
          </cell>
          <cell r="CW100">
            <v>-9.74</v>
          </cell>
          <cell r="CX100">
            <v>-13.89</v>
          </cell>
          <cell r="CY100">
            <v>-19.38</v>
          </cell>
          <cell r="CZ100">
            <v>-21.34</v>
          </cell>
          <cell r="DA100">
            <v>-28.56</v>
          </cell>
          <cell r="DB100">
            <v>-28.69</v>
          </cell>
          <cell r="DC100">
            <v>-30.17</v>
          </cell>
          <cell r="DD100">
            <v>-31.02</v>
          </cell>
          <cell r="DE100">
            <v>-23.71</v>
          </cell>
          <cell r="DF100">
            <v>-21.92</v>
          </cell>
          <cell r="DG100">
            <v>-18.329999999999998</v>
          </cell>
          <cell r="DH100">
            <v>-262.88000000000005</v>
          </cell>
        </row>
        <row r="101">
          <cell r="A101" t="str">
            <v>4893040</v>
          </cell>
          <cell r="B101" t="str">
            <v>4893040</v>
          </cell>
          <cell r="C101" t="str">
            <v>Resid Trsp GenSvc 1</v>
          </cell>
          <cell r="D101">
            <v>-87226.22</v>
          </cell>
          <cell r="E101">
            <v>-70954.070000000007</v>
          </cell>
          <cell r="F101">
            <v>-54346.74</v>
          </cell>
          <cell r="G101">
            <v>-52355.13</v>
          </cell>
          <cell r="H101">
            <v>-27061.9</v>
          </cell>
          <cell r="I101">
            <v>-20278.27</v>
          </cell>
          <cell r="J101">
            <v>-18302.810000000001</v>
          </cell>
          <cell r="K101">
            <v>-18205.580000000002</v>
          </cell>
          <cell r="L101">
            <v>-19801.150000000001</v>
          </cell>
          <cell r="M101">
            <v>-27105.91</v>
          </cell>
          <cell r="N101">
            <v>-57776.45</v>
          </cell>
          <cell r="O101">
            <v>-82604.2</v>
          </cell>
          <cell r="P101">
            <v>-76296.13</v>
          </cell>
          <cell r="Q101">
            <v>-84130.44</v>
          </cell>
          <cell r="R101">
            <v>-65827.41</v>
          </cell>
          <cell r="S101">
            <v>-29699.58</v>
          </cell>
          <cell r="T101">
            <v>-22228.92</v>
          </cell>
          <cell r="U101">
            <v>-20949.07</v>
          </cell>
          <cell r="V101">
            <v>-20092.07</v>
          </cell>
          <cell r="W101">
            <v>-21867.56</v>
          </cell>
          <cell r="X101">
            <v>-44566.2</v>
          </cell>
          <cell r="Y101">
            <v>-21965.34</v>
          </cell>
          <cell r="Z101">
            <v>-44193.04</v>
          </cell>
          <cell r="AA101">
            <v>-76346.31</v>
          </cell>
          <cell r="AB101">
            <v>-91658.63</v>
          </cell>
          <cell r="AC101">
            <v>-108943.36</v>
          </cell>
          <cell r="AD101">
            <v>-72443.83</v>
          </cell>
          <cell r="AE101">
            <v>-50313.09</v>
          </cell>
          <cell r="AF101">
            <v>-33398.370000000003</v>
          </cell>
          <cell r="AG101">
            <v>-20189.13</v>
          </cell>
          <cell r="AH101">
            <v>-20404.68</v>
          </cell>
          <cell r="AI101">
            <v>-22076.77</v>
          </cell>
          <cell r="AJ101">
            <v>-25307.22</v>
          </cell>
          <cell r="AK101">
            <v>-28711.71</v>
          </cell>
          <cell r="AL101">
            <v>-82502.259999999995</v>
          </cell>
          <cell r="AM101">
            <v>-90333.07</v>
          </cell>
          <cell r="AN101">
            <v>-94229.52</v>
          </cell>
          <cell r="AO101">
            <v>-94520.75</v>
          </cell>
          <cell r="AP101">
            <v>-71559.789999999994</v>
          </cell>
          <cell r="AQ101">
            <v>-73397.95</v>
          </cell>
          <cell r="AR101">
            <v>-37092.17</v>
          </cell>
          <cell r="AS101">
            <v>-24482.57</v>
          </cell>
          <cell r="AT101">
            <v>-22194.75</v>
          </cell>
          <cell r="AU101">
            <v>-22472.63</v>
          </cell>
          <cell r="AV101">
            <v>-26453.96</v>
          </cell>
          <cell r="AW101">
            <v>-30021.25</v>
          </cell>
          <cell r="AX101">
            <v>-68373.98</v>
          </cell>
          <cell r="AY101">
            <v>-90052.39</v>
          </cell>
          <cell r="AZ101">
            <v>-129753.60000000001</v>
          </cell>
          <cell r="BA101">
            <v>-107282.59</v>
          </cell>
          <cell r="BB101">
            <v>-62329.83</v>
          </cell>
          <cell r="BC101">
            <v>-82905.240000000005</v>
          </cell>
          <cell r="BD101">
            <v>-40131.11</v>
          </cell>
          <cell r="BE101">
            <v>-33106.35</v>
          </cell>
          <cell r="BF101">
            <v>-20636.560000000001</v>
          </cell>
          <cell r="BG101">
            <v>-26011.8</v>
          </cell>
          <cell r="BH101">
            <v>-30892.11</v>
          </cell>
          <cell r="BI101">
            <v>-28650.81</v>
          </cell>
          <cell r="BJ101">
            <v>-49031.11</v>
          </cell>
          <cell r="BK101">
            <v>-100247.02</v>
          </cell>
          <cell r="BL101">
            <v>-115702.04</v>
          </cell>
          <cell r="BM101">
            <v>-92765.31</v>
          </cell>
          <cell r="BN101">
            <v>-69576.44</v>
          </cell>
          <cell r="BO101">
            <v>-68677.23</v>
          </cell>
          <cell r="BP101">
            <v>-40960.28</v>
          </cell>
          <cell r="BQ101">
            <v>-25818.15</v>
          </cell>
          <cell r="BR101">
            <v>-21953.37</v>
          </cell>
          <cell r="BS101">
            <v>-25627.72</v>
          </cell>
          <cell r="BT101">
            <v>-26397.73</v>
          </cell>
          <cell r="BU101">
            <v>-33131.89</v>
          </cell>
          <cell r="BV101">
            <v>-49926.42</v>
          </cell>
          <cell r="BW101">
            <v>-100196.09</v>
          </cell>
          <cell r="BX101">
            <v>-106586.22</v>
          </cell>
          <cell r="BY101">
            <v>-90724.39</v>
          </cell>
          <cell r="BZ101">
            <v>-76928.52</v>
          </cell>
          <cell r="CA101">
            <v>-28696.12</v>
          </cell>
          <cell r="CB101">
            <v>-27866.37</v>
          </cell>
          <cell r="CC101">
            <v>-30022.13</v>
          </cell>
          <cell r="CD101">
            <v>-21742.43</v>
          </cell>
          <cell r="CE101">
            <v>-25072.97</v>
          </cell>
          <cell r="CF101">
            <v>-24563.71</v>
          </cell>
          <cell r="CG101">
            <v>-33607.370000000003</v>
          </cell>
          <cell r="CH101">
            <v>-56003.29</v>
          </cell>
          <cell r="CI101">
            <v>-110352.48</v>
          </cell>
          <cell r="CJ101">
            <v>-156015.32</v>
          </cell>
          <cell r="CK101">
            <v>-104128.2</v>
          </cell>
          <cell r="CL101">
            <v>-96666.26</v>
          </cell>
          <cell r="CM101">
            <v>-81313.539999999994</v>
          </cell>
          <cell r="CN101">
            <v>-47125.279999999999</v>
          </cell>
          <cell r="CO101">
            <v>-44149.32</v>
          </cell>
          <cell r="CP101">
            <v>-36278.400000000001</v>
          </cell>
          <cell r="CQ101">
            <v>-30586.26</v>
          </cell>
          <cell r="CR101">
            <v>-36588.92</v>
          </cell>
          <cell r="CS101">
            <v>-40766.19</v>
          </cell>
          <cell r="CT101">
            <v>-82334.759999999995</v>
          </cell>
          <cell r="CU101">
            <v>-121032.76</v>
          </cell>
          <cell r="CV101">
            <v>-123729.12</v>
          </cell>
          <cell r="CW101">
            <v>-133991.74</v>
          </cell>
          <cell r="CX101">
            <v>-77508.78</v>
          </cell>
          <cell r="CY101">
            <v>-77697.509999999995</v>
          </cell>
          <cell r="CZ101">
            <v>-50473.93</v>
          </cell>
          <cell r="DA101">
            <v>-31991.19</v>
          </cell>
          <cell r="DB101">
            <v>-28533.68</v>
          </cell>
          <cell r="DC101">
            <v>-31008.11</v>
          </cell>
          <cell r="DD101">
            <v>-31256.76</v>
          </cell>
          <cell r="DE101">
            <v>-45940.11</v>
          </cell>
          <cell r="DF101">
            <v>-70127.13</v>
          </cell>
          <cell r="DG101">
            <v>-92344.76</v>
          </cell>
          <cell r="DH101">
            <v>-794602.82000000007</v>
          </cell>
        </row>
        <row r="102">
          <cell r="A102" t="str">
            <v>4893041</v>
          </cell>
          <cell r="B102" t="str">
            <v>4893041</v>
          </cell>
          <cell r="C102" t="str">
            <v>Resid Trsp GS1 Swing</v>
          </cell>
          <cell r="D102">
            <v>-3651.54</v>
          </cell>
          <cell r="E102">
            <v>-3412.79</v>
          </cell>
          <cell r="F102">
            <v>-2733.92</v>
          </cell>
          <cell r="G102">
            <v>-2428.2199999999998</v>
          </cell>
          <cell r="H102">
            <v>-1408.33</v>
          </cell>
          <cell r="I102">
            <v>-819.38</v>
          </cell>
          <cell r="J102">
            <v>-541.28</v>
          </cell>
          <cell r="K102">
            <v>-447.51</v>
          </cell>
          <cell r="L102">
            <v>-476.82</v>
          </cell>
          <cell r="M102">
            <v>-749.98</v>
          </cell>
          <cell r="N102">
            <v>-1953.09</v>
          </cell>
          <cell r="O102">
            <v>-3249.98</v>
          </cell>
          <cell r="P102">
            <v>-3458.39</v>
          </cell>
          <cell r="Q102">
            <v>-3804.02</v>
          </cell>
          <cell r="R102">
            <v>-3254.49</v>
          </cell>
          <cell r="S102">
            <v>-1752.26</v>
          </cell>
          <cell r="T102">
            <v>-995.38</v>
          </cell>
          <cell r="U102">
            <v>-686.5</v>
          </cell>
          <cell r="V102">
            <v>-523.79999999999995</v>
          </cell>
          <cell r="W102">
            <v>-541.65</v>
          </cell>
          <cell r="X102">
            <v>-1372.9</v>
          </cell>
          <cell r="Y102">
            <v>-827.53</v>
          </cell>
          <cell r="Z102">
            <v>-1439.82</v>
          </cell>
          <cell r="AA102">
            <v>-3986.19</v>
          </cell>
          <cell r="AB102">
            <v>-5464.92</v>
          </cell>
          <cell r="AC102">
            <v>-6835.55</v>
          </cell>
          <cell r="AD102">
            <v>-5394.82</v>
          </cell>
          <cell r="AE102">
            <v>-3759.5</v>
          </cell>
          <cell r="AF102">
            <v>-2344.79</v>
          </cell>
          <cell r="AG102">
            <v>-1180.33</v>
          </cell>
          <cell r="AH102">
            <v>-769.17</v>
          </cell>
          <cell r="AI102">
            <v>-725.82</v>
          </cell>
          <cell r="AJ102">
            <v>-874.54</v>
          </cell>
          <cell r="AK102">
            <v>-1098.68</v>
          </cell>
          <cell r="AL102">
            <v>-3929.02</v>
          </cell>
          <cell r="AM102">
            <v>-5310.42</v>
          </cell>
          <cell r="AN102">
            <v>-5975.66</v>
          </cell>
          <cell r="AO102">
            <v>-6190.57</v>
          </cell>
          <cell r="AP102">
            <v>-5090.12</v>
          </cell>
          <cell r="AQ102">
            <v>-4794.5200000000004</v>
          </cell>
          <cell r="AR102">
            <v>-2825.8</v>
          </cell>
          <cell r="AS102">
            <v>-1516.04</v>
          </cell>
          <cell r="AT102">
            <v>-950.51</v>
          </cell>
          <cell r="AU102">
            <v>-791.5</v>
          </cell>
          <cell r="AV102">
            <v>-952.99</v>
          </cell>
          <cell r="AW102">
            <v>-1107.92</v>
          </cell>
          <cell r="AX102">
            <v>-3241.82</v>
          </cell>
          <cell r="AY102">
            <v>-5058.22</v>
          </cell>
          <cell r="AZ102">
            <v>-7686.65</v>
          </cell>
          <cell r="BA102">
            <v>-7395.2</v>
          </cell>
          <cell r="BB102">
            <v>-4973.84</v>
          </cell>
          <cell r="BC102">
            <v>-5234.8599999999997</v>
          </cell>
          <cell r="BD102">
            <v>-3103.14</v>
          </cell>
          <cell r="BE102">
            <v>-2103</v>
          </cell>
          <cell r="BF102">
            <v>-1027.2</v>
          </cell>
          <cell r="BG102">
            <v>-998.32</v>
          </cell>
          <cell r="BH102">
            <v>-1269.92</v>
          </cell>
          <cell r="BI102">
            <v>-1167.55</v>
          </cell>
          <cell r="BJ102">
            <v>-2157.39</v>
          </cell>
          <cell r="BK102">
            <v>-5285.98</v>
          </cell>
          <cell r="BL102">
            <v>-7458.6</v>
          </cell>
          <cell r="BM102">
            <v>-7381.01</v>
          </cell>
          <cell r="BN102">
            <v>-5005.62</v>
          </cell>
          <cell r="BO102">
            <v>-4707.83</v>
          </cell>
          <cell r="BP102">
            <v>-3095.09</v>
          </cell>
          <cell r="BQ102">
            <v>-1733.01</v>
          </cell>
          <cell r="BR102">
            <v>-1023.21</v>
          </cell>
          <cell r="BS102">
            <v>-997.6</v>
          </cell>
          <cell r="BT102">
            <v>-1024.58</v>
          </cell>
          <cell r="BU102">
            <v>-1409.4</v>
          </cell>
          <cell r="BV102">
            <v>-2253.96</v>
          </cell>
          <cell r="BW102">
            <v>-5661.79</v>
          </cell>
          <cell r="BX102">
            <v>-6941.35</v>
          </cell>
          <cell r="BY102">
            <v>-6514.54</v>
          </cell>
          <cell r="BZ102">
            <v>-5811.28</v>
          </cell>
          <cell r="CA102">
            <v>-2567.65</v>
          </cell>
          <cell r="CB102">
            <v>-1633.35</v>
          </cell>
          <cell r="CC102">
            <v>-1439.51</v>
          </cell>
          <cell r="CD102">
            <v>-929.67</v>
          </cell>
          <cell r="CE102">
            <v>-935.27</v>
          </cell>
          <cell r="CF102">
            <v>-910.38</v>
          </cell>
          <cell r="CG102">
            <v>-1393.47</v>
          </cell>
          <cell r="CH102">
            <v>-2774.9</v>
          </cell>
          <cell r="CI102">
            <v>-5733.93</v>
          </cell>
          <cell r="CJ102">
            <v>-7949.54</v>
          </cell>
          <cell r="CK102">
            <v>-6833.61</v>
          </cell>
          <cell r="CL102">
            <v>-5390.72</v>
          </cell>
          <cell r="CM102">
            <v>-4595.68</v>
          </cell>
          <cell r="CN102">
            <v>-2810.53</v>
          </cell>
          <cell r="CO102">
            <v>-2081.48</v>
          </cell>
          <cell r="CP102">
            <v>-1493.31</v>
          </cell>
          <cell r="CQ102">
            <v>-1054.28</v>
          </cell>
          <cell r="CR102">
            <v>-1167.8900000000001</v>
          </cell>
          <cell r="CS102">
            <v>-1387.78</v>
          </cell>
          <cell r="CT102">
            <v>-3313.85</v>
          </cell>
          <cell r="CU102">
            <v>-5672.37</v>
          </cell>
          <cell r="CV102">
            <v>-6167.3</v>
          </cell>
          <cell r="CW102">
            <v>-7615.7</v>
          </cell>
          <cell r="CX102">
            <v>-5172.2700000000004</v>
          </cell>
          <cell r="CY102">
            <v>-4363.2299999999996</v>
          </cell>
          <cell r="CZ102">
            <v>-2888.14</v>
          </cell>
          <cell r="DA102">
            <v>-1569.74</v>
          </cell>
          <cell r="DB102">
            <v>-980.46</v>
          </cell>
          <cell r="DC102">
            <v>-890.05</v>
          </cell>
          <cell r="DD102">
            <v>-917.93</v>
          </cell>
          <cell r="DE102">
            <v>-1500.28</v>
          </cell>
          <cell r="DF102">
            <v>-2812.55</v>
          </cell>
          <cell r="DG102">
            <v>-4235.46</v>
          </cell>
          <cell r="DH102">
            <v>-39113.11</v>
          </cell>
        </row>
        <row r="103">
          <cell r="A103" t="str">
            <v>4893042</v>
          </cell>
          <cell r="B103" t="str">
            <v>4893042</v>
          </cell>
          <cell r="C103" t="str">
            <v>Resid Trsp GenSvc 2</v>
          </cell>
          <cell r="D103">
            <v>-168684.59</v>
          </cell>
          <cell r="E103">
            <v>-137462.20000000001</v>
          </cell>
          <cell r="F103">
            <v>-111898.39</v>
          </cell>
          <cell r="G103">
            <v>-108996.72</v>
          </cell>
          <cell r="H103">
            <v>-78191.5</v>
          </cell>
          <cell r="I103">
            <v>-60890.63</v>
          </cell>
          <cell r="J103">
            <v>-45006.86</v>
          </cell>
          <cell r="K103">
            <v>-48727.27</v>
          </cell>
          <cell r="L103">
            <v>-56090.82</v>
          </cell>
          <cell r="M103">
            <v>-71328.39</v>
          </cell>
          <cell r="N103">
            <v>-117811.69</v>
          </cell>
          <cell r="O103">
            <v>-154020.35</v>
          </cell>
          <cell r="P103">
            <v>-154610.76</v>
          </cell>
          <cell r="Q103">
            <v>-164678.35</v>
          </cell>
          <cell r="R103">
            <v>-134671.1</v>
          </cell>
          <cell r="S103">
            <v>-78486.22</v>
          </cell>
          <cell r="T103">
            <v>-57328.959999999999</v>
          </cell>
          <cell r="U103">
            <v>-68505.88</v>
          </cell>
          <cell r="V103">
            <v>-50253.75</v>
          </cell>
          <cell r="W103">
            <v>-56851.38</v>
          </cell>
          <cell r="X103">
            <v>-55015.48</v>
          </cell>
          <cell r="Y103">
            <v>-71133.06</v>
          </cell>
          <cell r="Z103">
            <v>-96149.62</v>
          </cell>
          <cell r="AA103">
            <v>-139230.74</v>
          </cell>
          <cell r="AB103">
            <v>-158645.79999999999</v>
          </cell>
          <cell r="AC103">
            <v>-182068.94</v>
          </cell>
          <cell r="AD103">
            <v>-137279.84</v>
          </cell>
          <cell r="AE103">
            <v>-106038.27</v>
          </cell>
          <cell r="AF103">
            <v>-84860.83</v>
          </cell>
          <cell r="AG103">
            <v>-62518.92</v>
          </cell>
          <cell r="AH103">
            <v>-50239.360000000001</v>
          </cell>
          <cell r="AI103">
            <v>-52363.12</v>
          </cell>
          <cell r="AJ103">
            <v>-60457.760000000002</v>
          </cell>
          <cell r="AK103">
            <v>-71448.639999999999</v>
          </cell>
          <cell r="AL103">
            <v>-128068.47</v>
          </cell>
          <cell r="AM103">
            <v>-153442.10999999999</v>
          </cell>
          <cell r="AN103">
            <v>-150444.37</v>
          </cell>
          <cell r="AO103">
            <v>-167041.78</v>
          </cell>
          <cell r="AP103">
            <v>-131585.62</v>
          </cell>
          <cell r="AQ103">
            <v>-130990.13</v>
          </cell>
          <cell r="AR103">
            <v>-86171.91</v>
          </cell>
          <cell r="AS103">
            <v>-68412.61</v>
          </cell>
          <cell r="AT103">
            <v>-62972.79</v>
          </cell>
          <cell r="AU103">
            <v>-67808.84</v>
          </cell>
          <cell r="AV103">
            <v>-69746.89</v>
          </cell>
          <cell r="AW103">
            <v>-77065.919999999998</v>
          </cell>
          <cell r="AX103">
            <v>-137098.68</v>
          </cell>
          <cell r="AY103">
            <v>-176462.56</v>
          </cell>
          <cell r="AZ103">
            <v>-229184.44</v>
          </cell>
          <cell r="BA103">
            <v>-174675.39</v>
          </cell>
          <cell r="BB103">
            <v>-143859.04999999999</v>
          </cell>
          <cell r="BC103">
            <v>-158805.35</v>
          </cell>
          <cell r="BD103">
            <v>-102541.43</v>
          </cell>
          <cell r="BE103">
            <v>-85952.6</v>
          </cell>
          <cell r="BF103">
            <v>-53672.56</v>
          </cell>
          <cell r="BG103">
            <v>-63968.28</v>
          </cell>
          <cell r="BH103">
            <v>-78127.600000000006</v>
          </cell>
          <cell r="BI103">
            <v>-77330.92</v>
          </cell>
          <cell r="BJ103">
            <v>-116228.83</v>
          </cell>
          <cell r="BK103">
            <v>-175170.53</v>
          </cell>
          <cell r="BL103">
            <v>-211056.37</v>
          </cell>
          <cell r="BM103">
            <v>-167775.2</v>
          </cell>
          <cell r="BN103">
            <v>-144696.87</v>
          </cell>
          <cell r="BO103">
            <v>-141033.03</v>
          </cell>
          <cell r="BP103">
            <v>-92849.51</v>
          </cell>
          <cell r="BQ103">
            <v>-69563.88</v>
          </cell>
          <cell r="BR103">
            <v>-60947.43</v>
          </cell>
          <cell r="BS103">
            <v>-66705.08</v>
          </cell>
          <cell r="BT103">
            <v>-71683.86</v>
          </cell>
          <cell r="BU103">
            <v>-81560.7</v>
          </cell>
          <cell r="BV103">
            <v>-111755.92</v>
          </cell>
          <cell r="BW103">
            <v>-167656.91</v>
          </cell>
          <cell r="BX103">
            <v>-207586.89</v>
          </cell>
          <cell r="BY103">
            <v>-163581.07999999999</v>
          </cell>
          <cell r="BZ103">
            <v>-150500.54999999999</v>
          </cell>
          <cell r="CA103">
            <v>-61261.45</v>
          </cell>
          <cell r="CB103">
            <v>-64081.13</v>
          </cell>
          <cell r="CC103">
            <v>-80772.55</v>
          </cell>
          <cell r="CD103">
            <v>-56489.66</v>
          </cell>
          <cell r="CE103">
            <v>-64506.81</v>
          </cell>
          <cell r="CF103">
            <v>-63144.63</v>
          </cell>
          <cell r="CG103">
            <v>-89643.41</v>
          </cell>
          <cell r="CH103">
            <v>-123603.14</v>
          </cell>
          <cell r="CI103">
            <v>-195233.35</v>
          </cell>
          <cell r="CJ103">
            <v>-264968.68</v>
          </cell>
          <cell r="CK103">
            <v>-197782.87</v>
          </cell>
          <cell r="CL103">
            <v>-197046.73</v>
          </cell>
          <cell r="CM103">
            <v>-174430.37</v>
          </cell>
          <cell r="CN103">
            <v>-125720.6</v>
          </cell>
          <cell r="CO103">
            <v>-117309.62</v>
          </cell>
          <cell r="CP103">
            <v>-86432.06</v>
          </cell>
          <cell r="CQ103">
            <v>-76608.69</v>
          </cell>
          <cell r="CR103">
            <v>-87945.84</v>
          </cell>
          <cell r="CS103">
            <v>-101752.81</v>
          </cell>
          <cell r="CT103">
            <v>-155892.63</v>
          </cell>
          <cell r="CU103">
            <v>-202264.04</v>
          </cell>
          <cell r="CV103">
            <v>-192239.33</v>
          </cell>
          <cell r="CW103">
            <v>-205852.48</v>
          </cell>
          <cell r="CX103">
            <v>-161702.12</v>
          </cell>
          <cell r="CY103">
            <v>-148863.98000000001</v>
          </cell>
          <cell r="CZ103">
            <v>-132155.71</v>
          </cell>
          <cell r="DA103">
            <v>-88159.03</v>
          </cell>
          <cell r="DB103">
            <v>-78756.22</v>
          </cell>
          <cell r="DC103">
            <v>-78623.11</v>
          </cell>
          <cell r="DD103">
            <v>-83384.05</v>
          </cell>
          <cell r="DE103">
            <v>-108682.52</v>
          </cell>
          <cell r="DF103">
            <v>-148086.01999999999</v>
          </cell>
          <cell r="DG103">
            <v>-183845.78</v>
          </cell>
          <cell r="DH103">
            <v>-1610350.35</v>
          </cell>
        </row>
        <row r="104">
          <cell r="A104" t="str">
            <v>4893043</v>
          </cell>
          <cell r="B104" t="str">
            <v>4893043</v>
          </cell>
          <cell r="C104" t="str">
            <v>Resid Trsp GS2 Swing</v>
          </cell>
          <cell r="D104">
            <v>-7989.84</v>
          </cell>
          <cell r="E104">
            <v>-7370.5</v>
          </cell>
          <cell r="F104">
            <v>-6212.5</v>
          </cell>
          <cell r="G104">
            <v>-5718.58</v>
          </cell>
          <cell r="H104">
            <v>-4405.3</v>
          </cell>
          <cell r="I104">
            <v>-3332.9</v>
          </cell>
          <cell r="J104">
            <v>-2387.04</v>
          </cell>
          <cell r="K104">
            <v>-2207.42</v>
          </cell>
          <cell r="L104">
            <v>-2421.66</v>
          </cell>
          <cell r="M104">
            <v>-3057.46</v>
          </cell>
          <cell r="N104">
            <v>-4999.59</v>
          </cell>
          <cell r="O104">
            <v>-6993.84</v>
          </cell>
          <cell r="P104">
            <v>-7675.95</v>
          </cell>
          <cell r="Q104">
            <v>-8279.2000000000007</v>
          </cell>
          <cell r="R104">
            <v>-7361.23</v>
          </cell>
          <cell r="S104">
            <v>-4960.17</v>
          </cell>
          <cell r="T104">
            <v>-3368.62</v>
          </cell>
          <cell r="U104">
            <v>-3250.34</v>
          </cell>
          <cell r="V104">
            <v>-2541.77</v>
          </cell>
          <cell r="W104">
            <v>-2542.75</v>
          </cell>
          <cell r="X104">
            <v>-2472.08</v>
          </cell>
          <cell r="Y104">
            <v>-3047.42</v>
          </cell>
          <cell r="Z104">
            <v>-4168.51</v>
          </cell>
          <cell r="AA104">
            <v>-10397.09</v>
          </cell>
          <cell r="AB104">
            <v>-12855.75</v>
          </cell>
          <cell r="AC104">
            <v>-15125.71</v>
          </cell>
          <cell r="AD104">
            <v>-13026.01</v>
          </cell>
          <cell r="AE104">
            <v>-10320.700000000001</v>
          </cell>
          <cell r="AF104">
            <v>-8071.08</v>
          </cell>
          <cell r="AG104">
            <v>-5889.15</v>
          </cell>
          <cell r="AH104">
            <v>-4430.09</v>
          </cell>
          <cell r="AI104">
            <v>-4067.62</v>
          </cell>
          <cell r="AJ104">
            <v>-4463.3</v>
          </cell>
          <cell r="AK104">
            <v>-5286.27</v>
          </cell>
          <cell r="AL104">
            <v>-9152.1299999999992</v>
          </cell>
          <cell r="AM104">
            <v>-12056.06</v>
          </cell>
          <cell r="AN104">
            <v>-12881.46</v>
          </cell>
          <cell r="AO104">
            <v>-14113.94</v>
          </cell>
          <cell r="AP104">
            <v>-12309.37</v>
          </cell>
          <cell r="AQ104">
            <v>-11663.13</v>
          </cell>
          <cell r="AR104">
            <v>-8616.57</v>
          </cell>
          <cell r="AS104">
            <v>-6426.69</v>
          </cell>
          <cell r="AT104">
            <v>-5334.91</v>
          </cell>
          <cell r="AU104">
            <v>-5288.07</v>
          </cell>
          <cell r="AV104">
            <v>-5717.55</v>
          </cell>
          <cell r="AW104">
            <v>-5362.24</v>
          </cell>
          <cell r="AX104">
            <v>-10016.34</v>
          </cell>
          <cell r="AY104">
            <v>-13744.68</v>
          </cell>
          <cell r="AZ104">
            <v>-18337.04</v>
          </cell>
          <cell r="BA104">
            <v>-16421.45</v>
          </cell>
          <cell r="BB104">
            <v>-13806.12</v>
          </cell>
          <cell r="BC104">
            <v>-13873.5</v>
          </cell>
          <cell r="BD104">
            <v>-10320.129999999999</v>
          </cell>
          <cell r="BE104">
            <v>-8366.77</v>
          </cell>
          <cell r="BF104">
            <v>-5028.47</v>
          </cell>
          <cell r="BG104">
            <v>-4871.34</v>
          </cell>
          <cell r="BH104">
            <v>-5916.3</v>
          </cell>
          <cell r="BI104">
            <v>-5819.32</v>
          </cell>
          <cell r="BJ104">
            <v>-8191.49</v>
          </cell>
          <cell r="BK104">
            <v>-13260.86</v>
          </cell>
          <cell r="BL104">
            <v>-17911.73</v>
          </cell>
          <cell r="BM104">
            <v>-17599.669999999998</v>
          </cell>
          <cell r="BN104">
            <v>-13382.41</v>
          </cell>
          <cell r="BO104">
            <v>-12988.64</v>
          </cell>
          <cell r="BP104">
            <v>-9674.5300000000007</v>
          </cell>
          <cell r="BQ104">
            <v>-6993.43</v>
          </cell>
          <cell r="BR104">
            <v>-5599.89</v>
          </cell>
          <cell r="BS104">
            <v>-5486.84</v>
          </cell>
          <cell r="BT104">
            <v>-5793.62</v>
          </cell>
          <cell r="BU104">
            <v>-6583.54</v>
          </cell>
          <cell r="BV104">
            <v>-8154.76</v>
          </cell>
          <cell r="BW104">
            <v>-13825.26</v>
          </cell>
          <cell r="BX104">
            <v>-17667.599999999999</v>
          </cell>
          <cell r="BY104">
            <v>-16021.71</v>
          </cell>
          <cell r="BZ104">
            <v>-15045.06</v>
          </cell>
          <cell r="CA104">
            <v>-7780.37</v>
          </cell>
          <cell r="CB104">
            <v>-6069.63</v>
          </cell>
          <cell r="CC104">
            <v>-6606.47</v>
          </cell>
          <cell r="CD104">
            <v>-5163.9799999999996</v>
          </cell>
          <cell r="CE104">
            <v>-5205.43</v>
          </cell>
          <cell r="CF104">
            <v>-5139.25</v>
          </cell>
          <cell r="CG104">
            <v>-6900.27</v>
          </cell>
          <cell r="CH104">
            <v>-9763.19</v>
          </cell>
          <cell r="CI104">
            <v>-14346.51</v>
          </cell>
          <cell r="CJ104">
            <v>-17823.98</v>
          </cell>
          <cell r="CK104">
            <v>-16423.62</v>
          </cell>
          <cell r="CL104">
            <v>-14146.75</v>
          </cell>
          <cell r="CM104">
            <v>-13037.4</v>
          </cell>
          <cell r="CN104">
            <v>-10021.44</v>
          </cell>
          <cell r="CO104">
            <v>-8557.26</v>
          </cell>
          <cell r="CP104">
            <v>-6400.58</v>
          </cell>
          <cell r="CQ104">
            <v>-5139.1400000000003</v>
          </cell>
          <cell r="CR104">
            <v>-5347.94</v>
          </cell>
          <cell r="CS104">
            <v>-6163.16</v>
          </cell>
          <cell r="CT104">
            <v>-9389.17</v>
          </cell>
          <cell r="CU104">
            <v>-12981.41</v>
          </cell>
          <cell r="CV104">
            <v>-12899.16</v>
          </cell>
          <cell r="CW104">
            <v>-15226.3</v>
          </cell>
          <cell r="CX104">
            <v>-12759.33</v>
          </cell>
          <cell r="CY104">
            <v>-11232.75</v>
          </cell>
          <cell r="CZ104">
            <v>-9805.23</v>
          </cell>
          <cell r="DA104">
            <v>-6941.59</v>
          </cell>
          <cell r="DB104">
            <v>-5465.12</v>
          </cell>
          <cell r="DC104">
            <v>-4963.55</v>
          </cell>
          <cell r="DD104">
            <v>-5323.36</v>
          </cell>
          <cell r="DE104">
            <v>-6298.51</v>
          </cell>
          <cell r="DF104">
            <v>-9008.1</v>
          </cell>
          <cell r="DG104">
            <v>-11884.99</v>
          </cell>
          <cell r="DH104">
            <v>-111807.99</v>
          </cell>
        </row>
        <row r="105">
          <cell r="A105" t="str">
            <v>4893044</v>
          </cell>
          <cell r="B105" t="str">
            <v>4893044</v>
          </cell>
          <cell r="C105" t="str">
            <v>Resid Trsp GenSvc 3</v>
          </cell>
          <cell r="D105">
            <v>-92585.67</v>
          </cell>
          <cell r="E105">
            <v>-72770.080000000002</v>
          </cell>
          <cell r="F105">
            <v>-66295.61</v>
          </cell>
          <cell r="G105">
            <v>-65928.81</v>
          </cell>
          <cell r="H105">
            <v>-59139.5</v>
          </cell>
          <cell r="I105">
            <v>-47267.18</v>
          </cell>
          <cell r="J105">
            <v>-33067.22</v>
          </cell>
          <cell r="K105">
            <v>-41703.43</v>
          </cell>
          <cell r="L105">
            <v>-42045.14</v>
          </cell>
          <cell r="M105">
            <v>-42361.01</v>
          </cell>
          <cell r="N105">
            <v>-59288.18</v>
          </cell>
          <cell r="O105">
            <v>-68231.45</v>
          </cell>
          <cell r="P105">
            <v>-79344.86</v>
          </cell>
          <cell r="Q105">
            <v>-92389.11</v>
          </cell>
          <cell r="R105">
            <v>-81252.28</v>
          </cell>
          <cell r="S105">
            <v>-54147.45</v>
          </cell>
          <cell r="T105">
            <v>-40737.910000000003</v>
          </cell>
          <cell r="U105">
            <v>-56781.65</v>
          </cell>
          <cell r="V105">
            <v>-30764.720000000001</v>
          </cell>
          <cell r="W105">
            <v>-39091.83</v>
          </cell>
          <cell r="X105">
            <v>-35706.129999999997</v>
          </cell>
          <cell r="Y105">
            <v>-41805.040000000001</v>
          </cell>
          <cell r="Z105">
            <v>-49708.31</v>
          </cell>
          <cell r="AA105">
            <v>-68244.94</v>
          </cell>
          <cell r="AB105">
            <v>-79241.66</v>
          </cell>
          <cell r="AC105">
            <v>-75781.06</v>
          </cell>
          <cell r="AD105">
            <v>-61852.71</v>
          </cell>
          <cell r="AE105">
            <v>-53921.93</v>
          </cell>
          <cell r="AF105">
            <v>-46949.88</v>
          </cell>
          <cell r="AG105">
            <v>-33851.879999999997</v>
          </cell>
          <cell r="AH105">
            <v>-36536.01</v>
          </cell>
          <cell r="AI105">
            <v>-35384.92</v>
          </cell>
          <cell r="AJ105">
            <v>-39846.019999999997</v>
          </cell>
          <cell r="AK105">
            <v>-39384.35</v>
          </cell>
          <cell r="AL105">
            <v>-59078.82</v>
          </cell>
          <cell r="AM105">
            <v>-66244.11</v>
          </cell>
          <cell r="AN105">
            <v>-13499.3</v>
          </cell>
          <cell r="AO105">
            <v>-138018.47</v>
          </cell>
          <cell r="AP105">
            <v>-50351.42</v>
          </cell>
          <cell r="AQ105">
            <v>-69890.429999999993</v>
          </cell>
          <cell r="AR105">
            <v>-47543.49</v>
          </cell>
          <cell r="AS105">
            <v>-38067.25</v>
          </cell>
          <cell r="AT105">
            <v>-30956.25</v>
          </cell>
          <cell r="AU105">
            <v>-31975.11</v>
          </cell>
          <cell r="AV105">
            <v>-34809.129999999997</v>
          </cell>
          <cell r="AW105">
            <v>-39606.68</v>
          </cell>
          <cell r="AX105">
            <v>-48253.67</v>
          </cell>
          <cell r="AY105">
            <v>-52562.41</v>
          </cell>
          <cell r="AZ105">
            <v>-70578.03</v>
          </cell>
          <cell r="BA105">
            <v>-55406.1</v>
          </cell>
          <cell r="BB105">
            <v>-60205.66</v>
          </cell>
          <cell r="BC105">
            <v>-73436.28</v>
          </cell>
          <cell r="BD105">
            <v>-37572.9</v>
          </cell>
          <cell r="BE105">
            <v>-46128.1</v>
          </cell>
          <cell r="BF105">
            <v>-34931.370000000003</v>
          </cell>
          <cell r="BG105">
            <v>-40378.639999999999</v>
          </cell>
          <cell r="BH105">
            <v>-46109.99</v>
          </cell>
          <cell r="BI105">
            <v>-48095.32</v>
          </cell>
          <cell r="BJ105">
            <v>-55759.58</v>
          </cell>
          <cell r="BK105">
            <v>-72449.84</v>
          </cell>
          <cell r="BL105">
            <v>-83101.820000000007</v>
          </cell>
          <cell r="BM105">
            <v>-68951</v>
          </cell>
          <cell r="BN105">
            <v>-65485.52</v>
          </cell>
          <cell r="BO105">
            <v>-63896.71</v>
          </cell>
          <cell r="BP105">
            <v>-55204.7</v>
          </cell>
          <cell r="BQ105">
            <v>-44460.3</v>
          </cell>
          <cell r="BR105">
            <v>-37939.870000000003</v>
          </cell>
          <cell r="BS105">
            <v>-40042.03</v>
          </cell>
          <cell r="BT105">
            <v>-44387.87</v>
          </cell>
          <cell r="BU105">
            <v>-54556.76</v>
          </cell>
          <cell r="BV105">
            <v>-55504.34</v>
          </cell>
          <cell r="BW105">
            <v>-73537.210000000006</v>
          </cell>
          <cell r="BX105">
            <v>-89131.88</v>
          </cell>
          <cell r="BY105">
            <v>-73096.69</v>
          </cell>
          <cell r="BZ105">
            <v>-67935.42</v>
          </cell>
          <cell r="CA105">
            <v>-37312.58</v>
          </cell>
          <cell r="CB105">
            <v>-33497.57</v>
          </cell>
          <cell r="CC105">
            <v>-46598.05</v>
          </cell>
          <cell r="CD105">
            <v>-38098.71</v>
          </cell>
          <cell r="CE105">
            <v>-44535.98</v>
          </cell>
          <cell r="CF105">
            <v>-38700.36</v>
          </cell>
          <cell r="CG105">
            <v>-46703.839999999997</v>
          </cell>
          <cell r="CH105">
            <v>-63103.33</v>
          </cell>
          <cell r="CI105">
            <v>-73226.45</v>
          </cell>
          <cell r="CJ105">
            <v>-122324.19</v>
          </cell>
          <cell r="CK105">
            <v>-87442.48</v>
          </cell>
          <cell r="CL105">
            <v>-89752.37</v>
          </cell>
          <cell r="CM105">
            <v>-90963.199999999997</v>
          </cell>
          <cell r="CN105">
            <v>-74060.92</v>
          </cell>
          <cell r="CO105">
            <v>-73371.38</v>
          </cell>
          <cell r="CP105">
            <v>-75460.2</v>
          </cell>
          <cell r="CQ105">
            <v>-59166.71</v>
          </cell>
          <cell r="CR105">
            <v>-69435.95</v>
          </cell>
          <cell r="CS105">
            <v>-74003.679999999993</v>
          </cell>
          <cell r="CT105">
            <v>-94220.63</v>
          </cell>
          <cell r="CU105">
            <v>-112360.77</v>
          </cell>
          <cell r="CV105">
            <v>-117713.82</v>
          </cell>
          <cell r="CW105">
            <v>-105057.53</v>
          </cell>
          <cell r="CX105">
            <v>-102422.27</v>
          </cell>
          <cell r="CY105">
            <v>-85518.42</v>
          </cell>
          <cell r="CZ105">
            <v>-85717.95</v>
          </cell>
          <cell r="DA105">
            <v>-65502.63</v>
          </cell>
          <cell r="DB105">
            <v>-73732.800000000003</v>
          </cell>
          <cell r="DC105">
            <v>-60074.62</v>
          </cell>
          <cell r="DD105">
            <v>-70028.47</v>
          </cell>
          <cell r="DE105">
            <v>-75154.149999999994</v>
          </cell>
          <cell r="DF105">
            <v>-91166.46</v>
          </cell>
          <cell r="DG105">
            <v>-104200.13</v>
          </cell>
          <cell r="DH105">
            <v>-1036289.25</v>
          </cell>
        </row>
        <row r="106">
          <cell r="A106" t="str">
            <v>4893045</v>
          </cell>
          <cell r="B106" t="str">
            <v>4893045</v>
          </cell>
          <cell r="C106" t="str">
            <v>Resid Trsp GS3 Swing</v>
          </cell>
          <cell r="D106">
            <v>-5037.63</v>
          </cell>
          <cell r="E106">
            <v>-4540.32</v>
          </cell>
          <cell r="F106">
            <v>-4095.87</v>
          </cell>
          <cell r="G106">
            <v>-3931.94</v>
          </cell>
          <cell r="H106">
            <v>-3575.31</v>
          </cell>
          <cell r="I106">
            <v>-2948.7</v>
          </cell>
          <cell r="J106">
            <v>-2138.31</v>
          </cell>
          <cell r="K106">
            <v>-2236.63</v>
          </cell>
          <cell r="L106">
            <v>-2284.17</v>
          </cell>
          <cell r="M106">
            <v>-2313.6</v>
          </cell>
          <cell r="N106">
            <v>-3042.31</v>
          </cell>
          <cell r="O106">
            <v>-3673.42</v>
          </cell>
          <cell r="P106">
            <v>-4352.75</v>
          </cell>
          <cell r="Q106">
            <v>-5138.95</v>
          </cell>
          <cell r="R106">
            <v>-4926.43</v>
          </cell>
          <cell r="S106">
            <v>-3685.54</v>
          </cell>
          <cell r="T106">
            <v>-2691.48</v>
          </cell>
          <cell r="U106">
            <v>-3050.68</v>
          </cell>
          <cell r="V106">
            <v>-2108.6799999999998</v>
          </cell>
          <cell r="W106">
            <v>-2143.44</v>
          </cell>
          <cell r="X106">
            <v>-2006.06</v>
          </cell>
          <cell r="Y106">
            <v>-2213.14</v>
          </cell>
          <cell r="Z106">
            <v>-2625.52</v>
          </cell>
          <cell r="AA106">
            <v>-6560.93</v>
          </cell>
          <cell r="AB106">
            <v>-8007.55</v>
          </cell>
          <cell r="AC106">
            <v>-8215.34</v>
          </cell>
          <cell r="AD106">
            <v>-7179.96</v>
          </cell>
          <cell r="AE106">
            <v>-6217.7</v>
          </cell>
          <cell r="AF106">
            <v>-5344.02</v>
          </cell>
          <cell r="AG106">
            <v>-3990.23</v>
          </cell>
          <cell r="AH106">
            <v>-3716.13</v>
          </cell>
          <cell r="AI106">
            <v>-3527.59</v>
          </cell>
          <cell r="AJ106">
            <v>-3824.41</v>
          </cell>
          <cell r="AK106">
            <v>-3868.97</v>
          </cell>
          <cell r="AL106">
            <v>-5451.67</v>
          </cell>
          <cell r="AM106">
            <v>-6547.5</v>
          </cell>
          <cell r="AN106">
            <v>-3080.59</v>
          </cell>
          <cell r="AO106">
            <v>-11122.34</v>
          </cell>
          <cell r="AP106">
            <v>-7117.84</v>
          </cell>
          <cell r="AQ106">
            <v>-7386.14</v>
          </cell>
          <cell r="AR106">
            <v>-5715.13</v>
          </cell>
          <cell r="AS106">
            <v>-4329.33</v>
          </cell>
          <cell r="AT106">
            <v>-3481.85</v>
          </cell>
          <cell r="AU106">
            <v>-3226.62</v>
          </cell>
          <cell r="AV106">
            <v>-3566.73</v>
          </cell>
          <cell r="AW106">
            <v>-3520.3</v>
          </cell>
          <cell r="AX106">
            <v>-4691.63</v>
          </cell>
          <cell r="AY106">
            <v>-5310.17</v>
          </cell>
          <cell r="AZ106">
            <v>-6867.88</v>
          </cell>
          <cell r="BA106">
            <v>-6231.4</v>
          </cell>
          <cell r="BB106">
            <v>-6359.13</v>
          </cell>
          <cell r="BC106">
            <v>-7477.42</v>
          </cell>
          <cell r="BD106">
            <v>-4999.26</v>
          </cell>
          <cell r="BE106">
            <v>-4985.38</v>
          </cell>
          <cell r="BF106">
            <v>-3730.62</v>
          </cell>
          <cell r="BG106">
            <v>-3886.82</v>
          </cell>
          <cell r="BH106">
            <v>-4573.1899999999996</v>
          </cell>
          <cell r="BI106">
            <v>-4651.04</v>
          </cell>
          <cell r="BJ106">
            <v>-5244.53</v>
          </cell>
          <cell r="BK106">
            <v>-7121.68</v>
          </cell>
          <cell r="BL106">
            <v>-8877.81</v>
          </cell>
          <cell r="BM106">
            <v>-8773.83</v>
          </cell>
          <cell r="BN106">
            <v>-7175.53</v>
          </cell>
          <cell r="BO106">
            <v>-7155.82</v>
          </cell>
          <cell r="BP106">
            <v>-6397.7</v>
          </cell>
          <cell r="BQ106">
            <v>-5313.76</v>
          </cell>
          <cell r="BR106">
            <v>-4396.3</v>
          </cell>
          <cell r="BS106">
            <v>-4260.04</v>
          </cell>
          <cell r="BT106">
            <v>-4577.3100000000004</v>
          </cell>
          <cell r="BU106">
            <v>-5531.72</v>
          </cell>
          <cell r="BV106">
            <v>-5456.03</v>
          </cell>
          <cell r="BW106">
            <v>-7881.55</v>
          </cell>
          <cell r="BX106">
            <v>-9518.68</v>
          </cell>
          <cell r="BY106">
            <v>-8726.2199999999993</v>
          </cell>
          <cell r="BZ106">
            <v>-8308.2000000000007</v>
          </cell>
          <cell r="CA106">
            <v>-5059.2</v>
          </cell>
          <cell r="CB106">
            <v>-3934.8</v>
          </cell>
          <cell r="CC106">
            <v>-4653.28</v>
          </cell>
          <cell r="CD106">
            <v>-4171.59</v>
          </cell>
          <cell r="CE106">
            <v>-4542.34</v>
          </cell>
          <cell r="CF106">
            <v>-4184.83</v>
          </cell>
          <cell r="CG106">
            <v>-4733.6099999999997</v>
          </cell>
          <cell r="CH106">
            <v>-6285.26</v>
          </cell>
          <cell r="CI106">
            <v>-7080.77</v>
          </cell>
          <cell r="CJ106">
            <v>-9379.86</v>
          </cell>
          <cell r="CK106">
            <v>-8466.91</v>
          </cell>
          <cell r="CL106">
            <v>-7385.2</v>
          </cell>
          <cell r="CM106">
            <v>-7562.88</v>
          </cell>
          <cell r="CN106">
            <v>-6411.5</v>
          </cell>
          <cell r="CO106">
            <v>-5978.39</v>
          </cell>
          <cell r="CP106">
            <v>-5848.23</v>
          </cell>
          <cell r="CQ106">
            <v>-4682.9799999999996</v>
          </cell>
          <cell r="CR106">
            <v>-5030.1400000000003</v>
          </cell>
          <cell r="CS106">
            <v>-5472.91</v>
          </cell>
          <cell r="CT106">
            <v>-7068.48</v>
          </cell>
          <cell r="CU106">
            <v>-8899.6299999999992</v>
          </cell>
          <cell r="CV106">
            <v>-9274.99</v>
          </cell>
          <cell r="CW106">
            <v>-9730.3700000000008</v>
          </cell>
          <cell r="CX106">
            <v>-9075.11</v>
          </cell>
          <cell r="CY106">
            <v>-7645.97</v>
          </cell>
          <cell r="CZ106">
            <v>-7183.93</v>
          </cell>
          <cell r="DA106">
            <v>-5581.97</v>
          </cell>
          <cell r="DB106">
            <v>-5577.37</v>
          </cell>
          <cell r="DC106">
            <v>-4672.76</v>
          </cell>
          <cell r="DD106">
            <v>-5272.55</v>
          </cell>
          <cell r="DE106">
            <v>-5342.46</v>
          </cell>
          <cell r="DF106">
            <v>-6776.2</v>
          </cell>
          <cell r="DG106">
            <v>-8187.59</v>
          </cell>
          <cell r="DH106">
            <v>-84321.27</v>
          </cell>
        </row>
        <row r="107">
          <cell r="A107" t="str">
            <v>4893050</v>
          </cell>
          <cell r="B107" t="str">
            <v>4893050</v>
          </cell>
          <cell r="C107" t="str">
            <v>GenSvc Lg Vol1 Trnsp</v>
          </cell>
          <cell r="D107">
            <v>-2031612.74</v>
          </cell>
          <cell r="E107">
            <v>-1781386.76</v>
          </cell>
          <cell r="F107">
            <v>-1783532.65</v>
          </cell>
          <cell r="G107">
            <v>-1695469.43</v>
          </cell>
          <cell r="H107">
            <v>-1522375.86</v>
          </cell>
          <cell r="I107">
            <v>-1609840.85</v>
          </cell>
          <cell r="J107">
            <v>-1426095.55</v>
          </cell>
          <cell r="K107">
            <v>-1421401.99</v>
          </cell>
          <cell r="L107">
            <v>-1568297.96</v>
          </cell>
          <cell r="M107">
            <v>-1537018.47</v>
          </cell>
          <cell r="N107">
            <v>-1589676.93</v>
          </cell>
          <cell r="O107">
            <v>-1841779.11</v>
          </cell>
          <cell r="P107">
            <v>-2021826.86</v>
          </cell>
          <cell r="Q107">
            <v>-1928857.58</v>
          </cell>
          <cell r="R107">
            <v>-1997059.79</v>
          </cell>
          <cell r="S107">
            <v>-1720935.48</v>
          </cell>
          <cell r="T107">
            <v>-1522375.83</v>
          </cell>
          <cell r="U107">
            <v>-1592332.83</v>
          </cell>
          <cell r="V107">
            <v>-1593975.59</v>
          </cell>
          <cell r="W107">
            <v>-1629768.9</v>
          </cell>
          <cell r="X107">
            <v>-1571848.36</v>
          </cell>
          <cell r="Y107">
            <v>-1622928.46</v>
          </cell>
          <cell r="Z107">
            <v>-1736121.36</v>
          </cell>
          <cell r="AA107">
            <v>-1880799.89</v>
          </cell>
          <cell r="AB107">
            <v>-2142882.1</v>
          </cell>
          <cell r="AC107">
            <v>-2068268.42</v>
          </cell>
          <cell r="AD107">
            <v>-1961986.06</v>
          </cell>
          <cell r="AE107">
            <v>-1911790</v>
          </cell>
          <cell r="AF107">
            <v>-1780275.29</v>
          </cell>
          <cell r="AG107">
            <v>-1704166.33</v>
          </cell>
          <cell r="AH107">
            <v>-1614186.49</v>
          </cell>
          <cell r="AI107">
            <v>-1655740.83</v>
          </cell>
          <cell r="AJ107">
            <v>-1708372.49</v>
          </cell>
          <cell r="AK107">
            <v>-1642001.36</v>
          </cell>
          <cell r="AL107">
            <v>-1874045.58</v>
          </cell>
          <cell r="AM107">
            <v>-2048365.84</v>
          </cell>
          <cell r="AN107">
            <v>-2226712.7200000002</v>
          </cell>
          <cell r="AO107">
            <v>-1981775.97</v>
          </cell>
          <cell r="AP107">
            <v>-1957755.71</v>
          </cell>
          <cell r="AQ107">
            <v>-2030083.88</v>
          </cell>
          <cell r="AR107">
            <v>-1769185.12</v>
          </cell>
          <cell r="AS107">
            <v>-1779864.27</v>
          </cell>
          <cell r="AT107">
            <v>-1720054.72</v>
          </cell>
          <cell r="AU107">
            <v>-1725163.14</v>
          </cell>
          <cell r="AV107">
            <v>-1808337.74</v>
          </cell>
          <cell r="AW107">
            <v>-1679457.72</v>
          </cell>
          <cell r="AX107">
            <v>-1847424.64</v>
          </cell>
          <cell r="AY107">
            <v>-1989890.83</v>
          </cell>
          <cell r="AZ107">
            <v>-2544457.5099999998</v>
          </cell>
          <cell r="BA107">
            <v>-2120682.85</v>
          </cell>
          <cell r="BB107">
            <v>-2030638.31</v>
          </cell>
          <cell r="BC107">
            <v>-2152599.63</v>
          </cell>
          <cell r="BD107">
            <v>-1857300.26</v>
          </cell>
          <cell r="BE107">
            <v>-1862099.6</v>
          </cell>
          <cell r="BF107">
            <v>-1788356.62</v>
          </cell>
          <cell r="BG107">
            <v>-1749691.19</v>
          </cell>
          <cell r="BH107">
            <v>-1910560.37</v>
          </cell>
          <cell r="BI107">
            <v>-1744216.92</v>
          </cell>
          <cell r="BJ107">
            <v>-1898580.68</v>
          </cell>
          <cell r="BK107">
            <v>-2159059.37</v>
          </cell>
          <cell r="BL107">
            <v>-2191844.08</v>
          </cell>
          <cell r="BM107">
            <v>-1940560.57</v>
          </cell>
          <cell r="BN107">
            <v>-2153181.63</v>
          </cell>
          <cell r="BO107">
            <v>-2019802.11</v>
          </cell>
          <cell r="BP107">
            <v>-1840751.07</v>
          </cell>
          <cell r="BQ107">
            <v>-1754656.05</v>
          </cell>
          <cell r="BR107">
            <v>-1670379</v>
          </cell>
          <cell r="BS107">
            <v>-1706655.51</v>
          </cell>
          <cell r="BT107">
            <v>-1783260.67</v>
          </cell>
          <cell r="BU107">
            <v>-1695464.19</v>
          </cell>
          <cell r="BV107">
            <v>-2034790.44</v>
          </cell>
          <cell r="BW107">
            <v>-1997520.8</v>
          </cell>
          <cell r="BX107">
            <v>-2264940.39</v>
          </cell>
          <cell r="BY107">
            <v>-2117273.2400000002</v>
          </cell>
          <cell r="BZ107">
            <v>-1939260.2</v>
          </cell>
          <cell r="CA107">
            <v>-1349206.52</v>
          </cell>
          <cell r="CB107">
            <v>-1291496.6299999999</v>
          </cell>
          <cell r="CC107">
            <v>-1682770.23</v>
          </cell>
          <cell r="CD107">
            <v>-1582252.56</v>
          </cell>
          <cell r="CE107">
            <v>-1613325.36</v>
          </cell>
          <cell r="CF107">
            <v>-1609308.36</v>
          </cell>
          <cell r="CG107">
            <v>-1616782.84</v>
          </cell>
          <cell r="CH107">
            <v>-1813562.6</v>
          </cell>
          <cell r="CI107">
            <v>-2200275.6</v>
          </cell>
          <cell r="CJ107">
            <v>-3006129.33</v>
          </cell>
          <cell r="CK107">
            <v>-2445627.0699999998</v>
          </cell>
          <cell r="CL107">
            <v>-2612261.08</v>
          </cell>
          <cell r="CM107">
            <v>-2598146.6</v>
          </cell>
          <cell r="CN107">
            <v>-2287846.84</v>
          </cell>
          <cell r="CO107">
            <v>-2300903.86</v>
          </cell>
          <cell r="CP107">
            <v>-2409971.39</v>
          </cell>
          <cell r="CQ107">
            <v>-2300701.5499999998</v>
          </cell>
          <cell r="CR107">
            <v>-2390296.63</v>
          </cell>
          <cell r="CS107">
            <v>-2283980.9900000002</v>
          </cell>
          <cell r="CT107">
            <v>-2494914.1</v>
          </cell>
          <cell r="CU107">
            <v>-2975911.41</v>
          </cell>
          <cell r="CV107">
            <v>-3158645.42</v>
          </cell>
          <cell r="CW107">
            <v>-2653235.75</v>
          </cell>
          <cell r="CX107">
            <v>-2703567.92</v>
          </cell>
          <cell r="CY107">
            <v>-2627558.2200000002</v>
          </cell>
          <cell r="CZ107">
            <v>-2557768.9900000002</v>
          </cell>
          <cell r="DA107">
            <v>-2361173.7799999998</v>
          </cell>
          <cell r="DB107">
            <v>-2160650.92</v>
          </cell>
          <cell r="DC107">
            <v>-2199760.0299999998</v>
          </cell>
          <cell r="DD107">
            <v>-2187343.7000000002</v>
          </cell>
          <cell r="DE107">
            <v>-2381258.0499999998</v>
          </cell>
          <cell r="DF107">
            <v>-2355276.85</v>
          </cell>
          <cell r="DG107">
            <v>-2665153.19</v>
          </cell>
          <cell r="DH107">
            <v>-30011392.820000004</v>
          </cell>
        </row>
        <row r="108">
          <cell r="A108" t="str">
            <v>4893051</v>
          </cell>
          <cell r="B108" t="str">
            <v>4893051</v>
          </cell>
          <cell r="C108" t="str">
            <v>GS Lg V1 Trnsp Swing</v>
          </cell>
          <cell r="D108">
            <v>-83586.559999999998</v>
          </cell>
          <cell r="E108">
            <v>-79581.25</v>
          </cell>
          <cell r="F108">
            <v>-77961.990000000005</v>
          </cell>
          <cell r="G108">
            <v>-73906.850000000006</v>
          </cell>
          <cell r="H108">
            <v>-66809.14</v>
          </cell>
          <cell r="I108">
            <v>-67379.600000000006</v>
          </cell>
          <cell r="J108">
            <v>-61510.22</v>
          </cell>
          <cell r="K108">
            <v>-59011.03</v>
          </cell>
          <cell r="L108">
            <v>-63421.53</v>
          </cell>
          <cell r="M108">
            <v>-63610.35</v>
          </cell>
          <cell r="N108">
            <v>-65543.83</v>
          </cell>
          <cell r="O108">
            <v>-75168.259999999995</v>
          </cell>
          <cell r="P108">
            <v>-84893.37</v>
          </cell>
          <cell r="Q108">
            <v>-84671.2</v>
          </cell>
          <cell r="R108">
            <v>-86924.17</v>
          </cell>
          <cell r="S108">
            <v>-77488.97</v>
          </cell>
          <cell r="T108">
            <v>-67078.94</v>
          </cell>
          <cell r="U108">
            <v>-69214.789999999994</v>
          </cell>
          <cell r="V108">
            <v>-66015.210000000006</v>
          </cell>
          <cell r="W108">
            <v>-67059.990000000005</v>
          </cell>
          <cell r="X108">
            <v>-65305.48</v>
          </cell>
          <cell r="Y108">
            <v>-66327.350000000006</v>
          </cell>
          <cell r="Z108">
            <v>-70172.88</v>
          </cell>
          <cell r="AA108">
            <v>-110709.18</v>
          </cell>
          <cell r="AB108">
            <v>-127004.24</v>
          </cell>
          <cell r="AC108">
            <v>-128514.11</v>
          </cell>
          <cell r="AD108">
            <v>-123368.86</v>
          </cell>
          <cell r="AE108">
            <v>-118965.16</v>
          </cell>
          <cell r="AF108">
            <v>-110594.79</v>
          </cell>
          <cell r="AG108">
            <v>-103607.01</v>
          </cell>
          <cell r="AH108">
            <v>-97082.8</v>
          </cell>
          <cell r="AI108">
            <v>-96808.82</v>
          </cell>
          <cell r="AJ108">
            <v>-99383.07</v>
          </cell>
          <cell r="AK108">
            <v>-96577.01</v>
          </cell>
          <cell r="AL108">
            <v>-107477.83</v>
          </cell>
          <cell r="AM108">
            <v>-120084.85</v>
          </cell>
          <cell r="AN108">
            <v>-133632.48000000001</v>
          </cell>
          <cell r="AO108">
            <v>-125365.29</v>
          </cell>
          <cell r="AP108">
            <v>-121219.73</v>
          </cell>
          <cell r="AQ108">
            <v>-123373.73</v>
          </cell>
          <cell r="AR108">
            <v>-110829.1</v>
          </cell>
          <cell r="AS108">
            <v>-106860.47</v>
          </cell>
          <cell r="AT108">
            <v>-103034.81</v>
          </cell>
          <cell r="AU108">
            <v>-101583.83</v>
          </cell>
          <cell r="AV108">
            <v>-107228.19</v>
          </cell>
          <cell r="AW108">
            <v>-96638.25</v>
          </cell>
          <cell r="AX108">
            <v>-108128.89</v>
          </cell>
          <cell r="AY108">
            <v>-118565.73</v>
          </cell>
          <cell r="AZ108">
            <v>-148524.13</v>
          </cell>
          <cell r="BA108">
            <v>-137379.38</v>
          </cell>
          <cell r="BB108">
            <v>-128627.08</v>
          </cell>
          <cell r="BC108">
            <v>-131996.56</v>
          </cell>
          <cell r="BD108">
            <v>-117660.69</v>
          </cell>
          <cell r="BE108">
            <v>-116943.52</v>
          </cell>
          <cell r="BF108">
            <v>-105531.64</v>
          </cell>
          <cell r="BG108">
            <v>-103394.86</v>
          </cell>
          <cell r="BH108">
            <v>-114490.35</v>
          </cell>
          <cell r="BI108">
            <v>-102190.43</v>
          </cell>
          <cell r="BJ108">
            <v>-106631.7</v>
          </cell>
          <cell r="BK108">
            <v>-128096.31</v>
          </cell>
          <cell r="BL108">
            <v>-141908.64000000001</v>
          </cell>
          <cell r="BM108">
            <v>-140612.81</v>
          </cell>
          <cell r="BN108">
            <v>-131006.11</v>
          </cell>
          <cell r="BO108">
            <v>-130843.58</v>
          </cell>
          <cell r="BP108">
            <v>-120857.38</v>
          </cell>
          <cell r="BQ108">
            <v>-112887.09</v>
          </cell>
          <cell r="BR108">
            <v>-105785.45</v>
          </cell>
          <cell r="BS108">
            <v>-105057.25</v>
          </cell>
          <cell r="BT108">
            <v>-109202.46</v>
          </cell>
          <cell r="BU108">
            <v>-105632.65</v>
          </cell>
          <cell r="BV108">
            <v>-113015.74</v>
          </cell>
          <cell r="BW108">
            <v>-132826.69</v>
          </cell>
          <cell r="BX108">
            <v>-143673.13</v>
          </cell>
          <cell r="BY108">
            <v>-139768.73000000001</v>
          </cell>
          <cell r="BZ108">
            <v>-132967.04000000001</v>
          </cell>
          <cell r="CA108">
            <v>-89866.77</v>
          </cell>
          <cell r="CB108">
            <v>-76847.92</v>
          </cell>
          <cell r="CC108">
            <v>-93703.47</v>
          </cell>
          <cell r="CD108">
            <v>-93949.759999999995</v>
          </cell>
          <cell r="CE108">
            <v>-95691.68</v>
          </cell>
          <cell r="CF108">
            <v>-96116.07</v>
          </cell>
          <cell r="CG108">
            <v>-96946.29</v>
          </cell>
          <cell r="CH108">
            <v>-107484.07</v>
          </cell>
          <cell r="CI108">
            <v>-122126.97</v>
          </cell>
          <cell r="CJ108">
            <v>-145318.64000000001</v>
          </cell>
          <cell r="CK108">
            <v>-138670.04999999999</v>
          </cell>
          <cell r="CL108">
            <v>-128607.83</v>
          </cell>
          <cell r="CM108">
            <v>-131924.26</v>
          </cell>
          <cell r="CN108">
            <v>-119354.22</v>
          </cell>
          <cell r="CO108">
            <v>-115383.91</v>
          </cell>
          <cell r="CP108">
            <v>-119182.18</v>
          </cell>
          <cell r="CQ108">
            <v>-115327.97</v>
          </cell>
          <cell r="CR108">
            <v>-117995.68</v>
          </cell>
          <cell r="CS108">
            <v>-113976.41</v>
          </cell>
          <cell r="CT108">
            <v>-121914.48</v>
          </cell>
          <cell r="CU108">
            <v>-145795.72</v>
          </cell>
          <cell r="CV108">
            <v>-151680.6</v>
          </cell>
          <cell r="CW108">
            <v>-151592.1</v>
          </cell>
          <cell r="CX108">
            <v>-143452.6</v>
          </cell>
          <cell r="CY108">
            <v>-137396.91</v>
          </cell>
          <cell r="CZ108">
            <v>-132066.76</v>
          </cell>
          <cell r="DA108">
            <v>-121415.16</v>
          </cell>
          <cell r="DB108">
            <v>-110134.69</v>
          </cell>
          <cell r="DC108">
            <v>-107550.6</v>
          </cell>
          <cell r="DD108">
            <v>-111909.5</v>
          </cell>
          <cell r="DE108">
            <v>-110602.67</v>
          </cell>
          <cell r="DF108">
            <v>-114613.01</v>
          </cell>
          <cell r="DG108">
            <v>-129762.9</v>
          </cell>
          <cell r="DH108">
            <v>-1522177.5</v>
          </cell>
        </row>
        <row r="109">
          <cell r="A109" t="str">
            <v>4893052</v>
          </cell>
          <cell r="B109" t="str">
            <v>4893052</v>
          </cell>
          <cell r="C109" t="str">
            <v>GenSvc Lg Vol2 Trnsp</v>
          </cell>
          <cell r="D109">
            <v>-3169115.56</v>
          </cell>
          <cell r="E109">
            <v>-2722977.8</v>
          </cell>
          <cell r="F109">
            <v>-2632045.66</v>
          </cell>
          <cell r="G109">
            <v>-2536088.19</v>
          </cell>
          <cell r="H109">
            <v>-2197587.41</v>
          </cell>
          <cell r="I109">
            <v>-2382424.79</v>
          </cell>
          <cell r="J109">
            <v>-2151658.4300000002</v>
          </cell>
          <cell r="K109">
            <v>-2058293.63</v>
          </cell>
          <cell r="L109">
            <v>-2279914.5099999998</v>
          </cell>
          <cell r="M109">
            <v>-2223317</v>
          </cell>
          <cell r="N109">
            <v>-2393503.67</v>
          </cell>
          <cell r="O109">
            <v>-2884907.6</v>
          </cell>
          <cell r="P109">
            <v>-3178693.54</v>
          </cell>
          <cell r="Q109">
            <v>-2967169.84</v>
          </cell>
          <cell r="R109">
            <v>-3044512.03</v>
          </cell>
          <cell r="S109">
            <v>-2528590.2400000002</v>
          </cell>
          <cell r="T109">
            <v>-2096133.57</v>
          </cell>
          <cell r="U109">
            <v>-2484417.25</v>
          </cell>
          <cell r="V109">
            <v>-2198779.4</v>
          </cell>
          <cell r="W109">
            <v>-2321720.29</v>
          </cell>
          <cell r="X109">
            <v>-2208328.37</v>
          </cell>
          <cell r="Y109">
            <v>-2273201.3199999998</v>
          </cell>
          <cell r="Z109">
            <v>-2459750.59</v>
          </cell>
          <cell r="AA109">
            <v>-2804316.59</v>
          </cell>
          <cell r="AB109">
            <v>-3319998.74</v>
          </cell>
          <cell r="AC109">
            <v>-3106741.32</v>
          </cell>
          <cell r="AD109">
            <v>-2891324.98</v>
          </cell>
          <cell r="AE109">
            <v>-2758115.84</v>
          </cell>
          <cell r="AF109">
            <v>-2484531.9</v>
          </cell>
          <cell r="AG109">
            <v>-2375119.33</v>
          </cell>
          <cell r="AH109">
            <v>-2234437.02</v>
          </cell>
          <cell r="AI109">
            <v>-2304659.9300000002</v>
          </cell>
          <cell r="AJ109">
            <v>-2340030.5499999998</v>
          </cell>
          <cell r="AK109">
            <v>-2229160.66</v>
          </cell>
          <cell r="AL109">
            <v>-2623955.06</v>
          </cell>
          <cell r="AM109">
            <v>-2997096.27</v>
          </cell>
          <cell r="AN109">
            <v>-3290097.45</v>
          </cell>
          <cell r="AO109">
            <v>-2786643.61</v>
          </cell>
          <cell r="AP109">
            <v>-2828621.4</v>
          </cell>
          <cell r="AQ109">
            <v>-2849359.74</v>
          </cell>
          <cell r="AR109">
            <v>-2455692.98</v>
          </cell>
          <cell r="AS109">
            <v>-2400214.46</v>
          </cell>
          <cell r="AT109">
            <v>-2272706.62</v>
          </cell>
          <cell r="AU109">
            <v>-2331103.9</v>
          </cell>
          <cell r="AV109">
            <v>-2422069.17</v>
          </cell>
          <cell r="AW109">
            <v>-2167675.5699999998</v>
          </cell>
          <cell r="AX109">
            <v>-2538876.5499999998</v>
          </cell>
          <cell r="AY109">
            <v>-2935263.26</v>
          </cell>
          <cell r="AZ109">
            <v>-3563094.21</v>
          </cell>
          <cell r="BA109">
            <v>-2912738.76</v>
          </cell>
          <cell r="BB109">
            <v>-2836582.15</v>
          </cell>
          <cell r="BC109">
            <v>-3049595.55</v>
          </cell>
          <cell r="BD109">
            <v>-2447775.34</v>
          </cell>
          <cell r="BE109">
            <v>-2483399.0099999998</v>
          </cell>
          <cell r="BF109">
            <v>-2430676.29</v>
          </cell>
          <cell r="BG109">
            <v>-2325052.88</v>
          </cell>
          <cell r="BH109">
            <v>-2526846.67</v>
          </cell>
          <cell r="BI109">
            <v>-2264487.08</v>
          </cell>
          <cell r="BJ109">
            <v>-2606426.14</v>
          </cell>
          <cell r="BK109">
            <v>-3012097.84</v>
          </cell>
          <cell r="BL109">
            <v>-3112169.3</v>
          </cell>
          <cell r="BM109">
            <v>-2740391.67</v>
          </cell>
          <cell r="BN109">
            <v>-2912645.95</v>
          </cell>
          <cell r="BO109">
            <v>-2677598.73</v>
          </cell>
          <cell r="BP109">
            <v>-2517528.09</v>
          </cell>
          <cell r="BQ109">
            <v>-2224418.0099999998</v>
          </cell>
          <cell r="BR109">
            <v>-2264408.7400000002</v>
          </cell>
          <cell r="BS109">
            <v>-2250924.92</v>
          </cell>
          <cell r="BT109">
            <v>-2359857.42</v>
          </cell>
          <cell r="BU109">
            <v>-2242231.58</v>
          </cell>
          <cell r="BV109">
            <v>-2781817.38</v>
          </cell>
          <cell r="BW109">
            <v>-2789859.18</v>
          </cell>
          <cell r="BX109">
            <v>-3219590.72</v>
          </cell>
          <cell r="BY109">
            <v>-2884666.04</v>
          </cell>
          <cell r="BZ109">
            <v>-2645741.8199999998</v>
          </cell>
          <cell r="CA109">
            <v>-1641544.54</v>
          </cell>
          <cell r="CB109">
            <v>-1388567.83</v>
          </cell>
          <cell r="CC109">
            <v>-1989914.8</v>
          </cell>
          <cell r="CD109">
            <v>-1892105.91</v>
          </cell>
          <cell r="CE109">
            <v>-1919561.7</v>
          </cell>
          <cell r="CF109">
            <v>-1889349.74</v>
          </cell>
          <cell r="CG109">
            <v>-2006213.78</v>
          </cell>
          <cell r="CH109">
            <v>-2278444.4500000002</v>
          </cell>
          <cell r="CI109">
            <v>-2816489.53</v>
          </cell>
          <cell r="CJ109">
            <v>-4108181.56</v>
          </cell>
          <cell r="CK109">
            <v>-3191157.84</v>
          </cell>
          <cell r="CL109">
            <v>-3394582.62</v>
          </cell>
          <cell r="CM109">
            <v>-3495693.75</v>
          </cell>
          <cell r="CN109">
            <v>-2930093.11</v>
          </cell>
          <cell r="CO109">
            <v>-2881350.77</v>
          </cell>
          <cell r="CP109">
            <v>-2793571.34</v>
          </cell>
          <cell r="CQ109">
            <v>-2704952.57</v>
          </cell>
          <cell r="CR109">
            <v>-2851367.88</v>
          </cell>
          <cell r="CS109">
            <v>-2744432.32</v>
          </cell>
          <cell r="CT109">
            <v>-2984501.87</v>
          </cell>
          <cell r="CU109">
            <v>-3833669.1</v>
          </cell>
          <cell r="CV109">
            <v>-3960647.21</v>
          </cell>
          <cell r="CW109">
            <v>-3395014.08</v>
          </cell>
          <cell r="CX109">
            <v>-3346830.84</v>
          </cell>
          <cell r="CY109">
            <v>-3178082.27</v>
          </cell>
          <cell r="CZ109">
            <v>-3052741.39</v>
          </cell>
          <cell r="DA109">
            <v>-2723737.6000000001</v>
          </cell>
          <cell r="DB109">
            <v>-2841248</v>
          </cell>
          <cell r="DC109">
            <v>-2741439.89</v>
          </cell>
          <cell r="DD109">
            <v>-2765059.57</v>
          </cell>
          <cell r="DE109">
            <v>-3053300.35</v>
          </cell>
          <cell r="DF109">
            <v>-3179375.94</v>
          </cell>
          <cell r="DG109">
            <v>-3616385.98</v>
          </cell>
          <cell r="DH109">
            <v>-37853863.119999997</v>
          </cell>
        </row>
        <row r="110">
          <cell r="A110" t="str">
            <v>4893053</v>
          </cell>
          <cell r="B110" t="str">
            <v>4893053</v>
          </cell>
          <cell r="C110" t="str">
            <v>GS Lg V2 Trnsp Swing</v>
          </cell>
          <cell r="D110">
            <v>-147152.93</v>
          </cell>
          <cell r="E110">
            <v>-139405.64000000001</v>
          </cell>
          <cell r="F110">
            <v>-133341.82</v>
          </cell>
          <cell r="G110">
            <v>-127734.21</v>
          </cell>
          <cell r="H110">
            <v>-113229.68</v>
          </cell>
          <cell r="I110">
            <v>-115050.5</v>
          </cell>
          <cell r="J110">
            <v>-107123.65</v>
          </cell>
          <cell r="K110">
            <v>-100915.38</v>
          </cell>
          <cell r="L110">
            <v>-107087.22</v>
          </cell>
          <cell r="M110">
            <v>-106924.45</v>
          </cell>
          <cell r="N110">
            <v>-113173.94</v>
          </cell>
          <cell r="O110">
            <v>-133481.51</v>
          </cell>
          <cell r="P110">
            <v>-151109.60999999999</v>
          </cell>
          <cell r="Q110">
            <v>-149106.76</v>
          </cell>
          <cell r="R110">
            <v>-151223.54</v>
          </cell>
          <cell r="S110">
            <v>-132663.98000000001</v>
          </cell>
          <cell r="T110">
            <v>-110307.06</v>
          </cell>
          <cell r="U110">
            <v>-117350.86</v>
          </cell>
          <cell r="V110">
            <v>-109311.38</v>
          </cell>
          <cell r="W110">
            <v>-111035.1</v>
          </cell>
          <cell r="X110">
            <v>-107311.3</v>
          </cell>
          <cell r="Y110">
            <v>-108456.34</v>
          </cell>
          <cell r="Z110">
            <v>-115371.18</v>
          </cell>
          <cell r="AA110">
            <v>-224025.7</v>
          </cell>
          <cell r="AB110">
            <v>-258234.34</v>
          </cell>
          <cell r="AC110">
            <v>-262808.8</v>
          </cell>
          <cell r="AD110">
            <v>-250668.43</v>
          </cell>
          <cell r="AE110">
            <v>-237958.34</v>
          </cell>
          <cell r="AF110">
            <v>-216586.14</v>
          </cell>
          <cell r="AG110">
            <v>-202329.74</v>
          </cell>
          <cell r="AH110">
            <v>-188990.11</v>
          </cell>
          <cell r="AI110">
            <v>-188747.11</v>
          </cell>
          <cell r="AJ110">
            <v>-191142.33</v>
          </cell>
          <cell r="AK110">
            <v>-184582.55</v>
          </cell>
          <cell r="AL110">
            <v>-207421.72</v>
          </cell>
          <cell r="AM110">
            <v>-238801.23</v>
          </cell>
          <cell r="AN110">
            <v>-267967.84000000003</v>
          </cell>
          <cell r="AO110">
            <v>-245572.06</v>
          </cell>
          <cell r="AP110">
            <v>-240548.86</v>
          </cell>
          <cell r="AQ110">
            <v>-240231.51</v>
          </cell>
          <cell r="AR110">
            <v>-215367.63</v>
          </cell>
          <cell r="AS110">
            <v>-203116.48</v>
          </cell>
          <cell r="AT110">
            <v>-191838.51</v>
          </cell>
          <cell r="AU110">
            <v>-191241.34</v>
          </cell>
          <cell r="AV110">
            <v>-203287.86</v>
          </cell>
          <cell r="AW110">
            <v>-171934.95</v>
          </cell>
          <cell r="AX110">
            <v>-204751.87</v>
          </cell>
          <cell r="AY110">
            <v>-234736.11</v>
          </cell>
          <cell r="AZ110">
            <v>-283544.67</v>
          </cell>
          <cell r="BA110">
            <v>-259045.13</v>
          </cell>
          <cell r="BB110">
            <v>-245621.01</v>
          </cell>
          <cell r="BC110">
            <v>-254650.77</v>
          </cell>
          <cell r="BD110">
            <v>-219353.81</v>
          </cell>
          <cell r="BE110">
            <v>-217090.59</v>
          </cell>
          <cell r="BF110">
            <v>-198697.23</v>
          </cell>
          <cell r="BG110">
            <v>-192904.41</v>
          </cell>
          <cell r="BH110">
            <v>-210621.15</v>
          </cell>
          <cell r="BI110">
            <v>-186022</v>
          </cell>
          <cell r="BJ110">
            <v>-199795.23</v>
          </cell>
          <cell r="BK110">
            <v>-243568.84</v>
          </cell>
          <cell r="BL110">
            <v>-272578.67</v>
          </cell>
          <cell r="BM110">
            <v>-272772.28999999998</v>
          </cell>
          <cell r="BN110">
            <v>-244230.76</v>
          </cell>
          <cell r="BO110">
            <v>-239692.24</v>
          </cell>
          <cell r="BP110">
            <v>-225697.07</v>
          </cell>
          <cell r="BQ110">
            <v>-202823.16</v>
          </cell>
          <cell r="BR110">
            <v>-197529.4</v>
          </cell>
          <cell r="BS110">
            <v>-194671.96</v>
          </cell>
          <cell r="BT110">
            <v>-201075.21</v>
          </cell>
          <cell r="BU110">
            <v>-195155.36</v>
          </cell>
          <cell r="BV110">
            <v>-211098.9</v>
          </cell>
          <cell r="BW110">
            <v>-253457.52</v>
          </cell>
          <cell r="BX110">
            <v>-277420.90000000002</v>
          </cell>
          <cell r="BY110">
            <v>-263385.59999999998</v>
          </cell>
          <cell r="BZ110">
            <v>-251199.29</v>
          </cell>
          <cell r="CA110">
            <v>-163111.67999999999</v>
          </cell>
          <cell r="CB110">
            <v>-125539.17</v>
          </cell>
          <cell r="CC110">
            <v>-153091.42000000001</v>
          </cell>
          <cell r="CD110">
            <v>-155937.68</v>
          </cell>
          <cell r="CE110">
            <v>-158757.96</v>
          </cell>
          <cell r="CF110">
            <v>-157660.98000000001</v>
          </cell>
          <cell r="CG110">
            <v>-165209.44</v>
          </cell>
          <cell r="CH110">
            <v>-185831.26</v>
          </cell>
          <cell r="CI110">
            <v>-211778.76</v>
          </cell>
          <cell r="CJ110">
            <v>-257153.82</v>
          </cell>
          <cell r="CK110">
            <v>-241625.68</v>
          </cell>
          <cell r="CL110">
            <v>-221095.84</v>
          </cell>
          <cell r="CM110">
            <v>-232996.06</v>
          </cell>
          <cell r="CN110">
            <v>-206223.57</v>
          </cell>
          <cell r="CO110">
            <v>-194600.53</v>
          </cell>
          <cell r="CP110">
            <v>-191287.15</v>
          </cell>
          <cell r="CQ110">
            <v>-183487.33</v>
          </cell>
          <cell r="CR110">
            <v>-188781.84</v>
          </cell>
          <cell r="CS110">
            <v>-184586.13</v>
          </cell>
          <cell r="CT110">
            <v>-196254.82</v>
          </cell>
          <cell r="CU110">
            <v>-246151.35</v>
          </cell>
          <cell r="CV110">
            <v>-252710.7</v>
          </cell>
          <cell r="CW110">
            <v>-257915.38</v>
          </cell>
          <cell r="CX110">
            <v>-240207.63</v>
          </cell>
          <cell r="CY110">
            <v>-225022.13</v>
          </cell>
          <cell r="CZ110">
            <v>-213053.11</v>
          </cell>
          <cell r="DA110">
            <v>-191195.5</v>
          </cell>
          <cell r="DB110">
            <v>-188146.47</v>
          </cell>
          <cell r="DC110">
            <v>-182342.18</v>
          </cell>
          <cell r="DD110">
            <v>-191237.73</v>
          </cell>
          <cell r="DE110">
            <v>-190850.86</v>
          </cell>
          <cell r="DF110">
            <v>-206928.49</v>
          </cell>
          <cell r="DG110">
            <v>-235909.85</v>
          </cell>
          <cell r="DH110">
            <v>-2575520.0299999998</v>
          </cell>
        </row>
        <row r="111">
          <cell r="A111" t="str">
            <v>4893054</v>
          </cell>
          <cell r="B111" t="str">
            <v>4893054</v>
          </cell>
          <cell r="C111" t="str">
            <v>GenSvc Lg Vol3 Trnsp</v>
          </cell>
          <cell r="D111">
            <v>-1796485.87</v>
          </cell>
          <cell r="E111">
            <v>-1628373.76</v>
          </cell>
          <cell r="F111">
            <v>-1478954.64</v>
          </cell>
          <cell r="G111">
            <v>-1471714.33</v>
          </cell>
          <cell r="H111">
            <v>-1256161.6499999999</v>
          </cell>
          <cell r="I111">
            <v>-1268470.04</v>
          </cell>
          <cell r="J111">
            <v>-1128552.52</v>
          </cell>
          <cell r="K111">
            <v>-1098229.98</v>
          </cell>
          <cell r="L111">
            <v>-1295997.01</v>
          </cell>
          <cell r="M111">
            <v>-1241890.78</v>
          </cell>
          <cell r="N111">
            <v>-1347264.82</v>
          </cell>
          <cell r="O111">
            <v>-1581692.25</v>
          </cell>
          <cell r="P111">
            <v>-1681816.14</v>
          </cell>
          <cell r="Q111">
            <v>-1590647</v>
          </cell>
          <cell r="R111">
            <v>-1639112.61</v>
          </cell>
          <cell r="S111">
            <v>-1386065.47</v>
          </cell>
          <cell r="T111">
            <v>-1132367.98</v>
          </cell>
          <cell r="U111">
            <v>-1300670.6200000001</v>
          </cell>
          <cell r="V111">
            <v>-1214163.8500000001</v>
          </cell>
          <cell r="W111">
            <v>-1256266.58</v>
          </cell>
          <cell r="X111">
            <v>-1112293.03</v>
          </cell>
          <cell r="Y111">
            <v>-1232863.6499999999</v>
          </cell>
          <cell r="Z111">
            <v>-1311451.3899999999</v>
          </cell>
          <cell r="AA111">
            <v>-1455649.68</v>
          </cell>
          <cell r="AB111">
            <v>-1666771.56</v>
          </cell>
          <cell r="AC111">
            <v>-1695873.68</v>
          </cell>
          <cell r="AD111">
            <v>-1512121.24</v>
          </cell>
          <cell r="AE111">
            <v>-1469644.94</v>
          </cell>
          <cell r="AF111">
            <v>-1318348</v>
          </cell>
          <cell r="AG111">
            <v>-1219971.78</v>
          </cell>
          <cell r="AH111">
            <v>-1103391.1200000001</v>
          </cell>
          <cell r="AI111">
            <v>-1127562.21</v>
          </cell>
          <cell r="AJ111">
            <v>-1193366.6599999999</v>
          </cell>
          <cell r="AK111">
            <v>-1089902.22</v>
          </cell>
          <cell r="AL111">
            <v>-1347421.31</v>
          </cell>
          <cell r="AM111">
            <v>-1533363.53</v>
          </cell>
          <cell r="AN111">
            <v>-1600533.91</v>
          </cell>
          <cell r="AO111">
            <v>-1405565.9</v>
          </cell>
          <cell r="AP111">
            <v>-1415908.97</v>
          </cell>
          <cell r="AQ111">
            <v>-1382912.97</v>
          </cell>
          <cell r="AR111">
            <v>-1224903.3</v>
          </cell>
          <cell r="AS111">
            <v>-1138786.08</v>
          </cell>
          <cell r="AT111">
            <v>-1081579.8799999999</v>
          </cell>
          <cell r="AU111">
            <v>-1123899.5</v>
          </cell>
          <cell r="AV111">
            <v>-1181574</v>
          </cell>
          <cell r="AW111">
            <v>-1163031.3700000001</v>
          </cell>
          <cell r="AX111">
            <v>-1216500.97</v>
          </cell>
          <cell r="AY111">
            <v>-1497737.47</v>
          </cell>
          <cell r="AZ111">
            <v>-1747586.85</v>
          </cell>
          <cell r="BA111">
            <v>-1555399.95</v>
          </cell>
          <cell r="BB111">
            <v>-1331590.81</v>
          </cell>
          <cell r="BC111">
            <v>-1534128.29</v>
          </cell>
          <cell r="BD111">
            <v>-1208985.78</v>
          </cell>
          <cell r="BE111">
            <v>-1168832.27</v>
          </cell>
          <cell r="BF111">
            <v>-1199757.82</v>
          </cell>
          <cell r="BG111">
            <v>-1167748.8700000001</v>
          </cell>
          <cell r="BH111">
            <v>-1231079.05</v>
          </cell>
          <cell r="BI111">
            <v>-1143943.19</v>
          </cell>
          <cell r="BJ111">
            <v>-1329940.8600000001</v>
          </cell>
          <cell r="BK111">
            <v>-1495304.68</v>
          </cell>
          <cell r="BL111">
            <v>-1557255.92</v>
          </cell>
          <cell r="BM111">
            <v>-1336867.74</v>
          </cell>
          <cell r="BN111">
            <v>-1825246</v>
          </cell>
          <cell r="BO111">
            <v>-865608.81</v>
          </cell>
          <cell r="BP111">
            <v>-1333126.6599999999</v>
          </cell>
          <cell r="BQ111">
            <v>-1100374.67</v>
          </cell>
          <cell r="BR111">
            <v>-1111323.32</v>
          </cell>
          <cell r="BS111">
            <v>-1085068.25</v>
          </cell>
          <cell r="BT111">
            <v>-1130446.19</v>
          </cell>
          <cell r="BU111">
            <v>-1114860.75</v>
          </cell>
          <cell r="BV111">
            <v>-1413246.76</v>
          </cell>
          <cell r="BW111">
            <v>-1389502.72</v>
          </cell>
          <cell r="BX111">
            <v>-1588346.19</v>
          </cell>
          <cell r="BY111">
            <v>-1409032.03</v>
          </cell>
          <cell r="BZ111">
            <v>-1341248.7</v>
          </cell>
          <cell r="CA111">
            <v>-926917.24</v>
          </cell>
          <cell r="CB111">
            <v>-886369.97</v>
          </cell>
          <cell r="CC111">
            <v>-1048864.03</v>
          </cell>
          <cell r="CD111">
            <v>-1015188.39</v>
          </cell>
          <cell r="CE111">
            <v>-1012932.5</v>
          </cell>
          <cell r="CF111">
            <v>-911181.26</v>
          </cell>
          <cell r="CG111">
            <v>-993904.8</v>
          </cell>
          <cell r="CH111">
            <v>-1209596.8</v>
          </cell>
          <cell r="CI111">
            <v>-1387708.68</v>
          </cell>
          <cell r="CJ111">
            <v>-2104835.0699999998</v>
          </cell>
          <cell r="CK111">
            <v>-1732523.76</v>
          </cell>
          <cell r="CL111">
            <v>-1763334.55</v>
          </cell>
          <cell r="CM111">
            <v>-1520208.61</v>
          </cell>
          <cell r="CN111">
            <v>-1497132.74</v>
          </cell>
          <cell r="CO111">
            <v>-1463302.34</v>
          </cell>
          <cell r="CP111">
            <v>-1431867.97</v>
          </cell>
          <cell r="CQ111">
            <v>-1112373.6200000001</v>
          </cell>
          <cell r="CR111">
            <v>-1377029.65</v>
          </cell>
          <cell r="CS111">
            <v>-1286104.98</v>
          </cell>
          <cell r="CT111">
            <v>-1521130.24</v>
          </cell>
          <cell r="CU111">
            <v>-1838015.33</v>
          </cell>
          <cell r="CV111">
            <v>-1975683.83</v>
          </cell>
          <cell r="CW111">
            <v>-1564268.53</v>
          </cell>
          <cell r="CX111">
            <v>-1682681.82</v>
          </cell>
          <cell r="CY111">
            <v>-1435769.47</v>
          </cell>
          <cell r="CZ111">
            <v>-1475360.05</v>
          </cell>
          <cell r="DA111">
            <v>-1346701.07</v>
          </cell>
          <cell r="DB111">
            <v>-1448377.81</v>
          </cell>
          <cell r="DC111">
            <v>-1331872.04</v>
          </cell>
          <cell r="DD111">
            <v>-1333112.1200000001</v>
          </cell>
          <cell r="DE111">
            <v>-1642061.62</v>
          </cell>
          <cell r="DF111">
            <v>-1605506.07</v>
          </cell>
          <cell r="DG111">
            <v>-1776670</v>
          </cell>
          <cell r="DH111">
            <v>-18618064.430000003</v>
          </cell>
        </row>
        <row r="112">
          <cell r="A112" t="str">
            <v>4893055</v>
          </cell>
          <cell r="B112" t="str">
            <v>4893055</v>
          </cell>
          <cell r="C112" t="str">
            <v>GS Lg V3 Trnsp Swing</v>
          </cell>
          <cell r="D112">
            <v>-88450.48</v>
          </cell>
          <cell r="E112">
            <v>-88933.99</v>
          </cell>
          <cell r="F112">
            <v>-81068.62</v>
          </cell>
          <cell r="G112">
            <v>-79168.53</v>
          </cell>
          <cell r="H112">
            <v>-70145.179999999993</v>
          </cell>
          <cell r="I112">
            <v>-67192.58</v>
          </cell>
          <cell r="J112">
            <v>-61556.68</v>
          </cell>
          <cell r="K112">
            <v>-57813.53</v>
          </cell>
          <cell r="L112">
            <v>-60069.77</v>
          </cell>
          <cell r="M112">
            <v>-62624.21</v>
          </cell>
          <cell r="N112">
            <v>-68663.009999999995</v>
          </cell>
          <cell r="O112">
            <v>-79284.800000000003</v>
          </cell>
          <cell r="P112">
            <v>-86846.23</v>
          </cell>
          <cell r="Q112">
            <v>-86453.55</v>
          </cell>
          <cell r="R112">
            <v>-87799.2</v>
          </cell>
          <cell r="S112">
            <v>-77810.83</v>
          </cell>
          <cell r="T112">
            <v>-62666.99</v>
          </cell>
          <cell r="U112">
            <v>-66633.52</v>
          </cell>
          <cell r="V112">
            <v>-64103.76</v>
          </cell>
          <cell r="W112">
            <v>-65336.92</v>
          </cell>
          <cell r="X112">
            <v>-60468.09</v>
          </cell>
          <cell r="Y112">
            <v>-61423.13</v>
          </cell>
          <cell r="Z112">
            <v>-67425.09</v>
          </cell>
          <cell r="AA112">
            <v>-137451.69</v>
          </cell>
          <cell r="AB112">
            <v>-157352.39000000001</v>
          </cell>
          <cell r="AC112">
            <v>-167792.39</v>
          </cell>
          <cell r="AD112">
            <v>-155809.22</v>
          </cell>
          <cell r="AE112">
            <v>-148655.93</v>
          </cell>
          <cell r="AF112">
            <v>-134134.26999999999</v>
          </cell>
          <cell r="AG112">
            <v>-123170.78</v>
          </cell>
          <cell r="AH112">
            <v>-113105.51</v>
          </cell>
          <cell r="AI112">
            <v>-111005.73</v>
          </cell>
          <cell r="AJ112">
            <v>-114935.78</v>
          </cell>
          <cell r="AK112">
            <v>-105655.41</v>
          </cell>
          <cell r="AL112">
            <v>-123596.8</v>
          </cell>
          <cell r="AM112">
            <v>-140595.60999999999</v>
          </cell>
          <cell r="AN112">
            <v>-155510.26</v>
          </cell>
          <cell r="AO112">
            <v>-144928.69</v>
          </cell>
          <cell r="AP112">
            <v>-140828.31</v>
          </cell>
          <cell r="AQ112">
            <v>-139992.12</v>
          </cell>
          <cell r="AR112">
            <v>-125841.31</v>
          </cell>
          <cell r="AS112">
            <v>-115021.98</v>
          </cell>
          <cell r="AT112">
            <v>-107797.03</v>
          </cell>
          <cell r="AU112">
            <v>-102493.36</v>
          </cell>
          <cell r="AV112">
            <v>-127985.96</v>
          </cell>
          <cell r="AW112">
            <v>-95491.08</v>
          </cell>
          <cell r="AX112">
            <v>-118519.13</v>
          </cell>
          <cell r="AY112">
            <v>-137833.12</v>
          </cell>
          <cell r="AZ112">
            <v>-163189.66</v>
          </cell>
          <cell r="BA112">
            <v>-159524.48000000001</v>
          </cell>
          <cell r="BB112">
            <v>-137673.23000000001</v>
          </cell>
          <cell r="BC112">
            <v>-149373.34</v>
          </cell>
          <cell r="BD112">
            <v>-127799.25</v>
          </cell>
          <cell r="BE112">
            <v>-122357.35</v>
          </cell>
          <cell r="BF112">
            <v>-114677.16</v>
          </cell>
          <cell r="BG112">
            <v>-113050.62</v>
          </cell>
          <cell r="BH112">
            <v>-123469.11</v>
          </cell>
          <cell r="BI112">
            <v>-109035.59</v>
          </cell>
          <cell r="BJ112">
            <v>-119085.68</v>
          </cell>
          <cell r="BK112">
            <v>-145133.26</v>
          </cell>
          <cell r="BL112">
            <v>-160301.51999999999</v>
          </cell>
          <cell r="BM112">
            <v>-160997.23000000001</v>
          </cell>
          <cell r="BN112">
            <v>-174550.08</v>
          </cell>
          <cell r="BO112">
            <v>-112451.28</v>
          </cell>
          <cell r="BP112">
            <v>-132630.14000000001</v>
          </cell>
          <cell r="BQ112">
            <v>-119883.95</v>
          </cell>
          <cell r="BR112">
            <v>-115230.68</v>
          </cell>
          <cell r="BS112">
            <v>-112377.77</v>
          </cell>
          <cell r="BT112">
            <v>-114657.93</v>
          </cell>
          <cell r="BU112">
            <v>-113727.03999999999</v>
          </cell>
          <cell r="BV112">
            <v>-124710.8</v>
          </cell>
          <cell r="BW112">
            <v>-150561.14000000001</v>
          </cell>
          <cell r="BX112">
            <v>-165100.51</v>
          </cell>
          <cell r="BY112">
            <v>-156135.75</v>
          </cell>
          <cell r="BZ112">
            <v>-152901.16</v>
          </cell>
          <cell r="CA112">
            <v>-109420.13</v>
          </cell>
          <cell r="CB112">
            <v>-94788.1</v>
          </cell>
          <cell r="CC112">
            <v>-104181.5</v>
          </cell>
          <cell r="CD112">
            <v>-100942.29</v>
          </cell>
          <cell r="CE112">
            <v>-103781.13</v>
          </cell>
          <cell r="CF112">
            <v>-95974.32</v>
          </cell>
          <cell r="CG112">
            <v>-98672.8</v>
          </cell>
          <cell r="CH112">
            <v>-117650.17</v>
          </cell>
          <cell r="CI112">
            <v>-127855.26</v>
          </cell>
          <cell r="CJ112">
            <v>-161461.20000000001</v>
          </cell>
          <cell r="CK112">
            <v>-158054.07999999999</v>
          </cell>
          <cell r="CL112">
            <v>-140873.21</v>
          </cell>
          <cell r="CM112">
            <v>-121294.26</v>
          </cell>
          <cell r="CN112">
            <v>-120387.89</v>
          </cell>
          <cell r="CO112">
            <v>-115219.04</v>
          </cell>
          <cell r="CP112">
            <v>-118150.78</v>
          </cell>
          <cell r="CQ112">
            <v>-93560.78</v>
          </cell>
          <cell r="CR112">
            <v>-104885.52</v>
          </cell>
          <cell r="CS112">
            <v>-100714.57</v>
          </cell>
          <cell r="CT112">
            <v>-115018.16</v>
          </cell>
          <cell r="CU112">
            <v>-143764.32</v>
          </cell>
          <cell r="CV112">
            <v>-150668.56</v>
          </cell>
          <cell r="CW112">
            <v>-147294.5</v>
          </cell>
          <cell r="CX112">
            <v>-140467.73000000001</v>
          </cell>
          <cell r="CY112">
            <v>-125280.7</v>
          </cell>
          <cell r="CZ112">
            <v>-119652.6</v>
          </cell>
          <cell r="DA112">
            <v>-110203.26</v>
          </cell>
          <cell r="DB112">
            <v>-109311.65</v>
          </cell>
          <cell r="DC112">
            <v>-101884.12</v>
          </cell>
          <cell r="DD112">
            <v>-107737.06</v>
          </cell>
          <cell r="DE112">
            <v>-115784.85</v>
          </cell>
          <cell r="DF112">
            <v>-122920.29</v>
          </cell>
          <cell r="DG112">
            <v>-134658.84</v>
          </cell>
          <cell r="DH112">
            <v>-1485864.1600000001</v>
          </cell>
        </row>
        <row r="113">
          <cell r="A113" t="str">
            <v>4893056</v>
          </cell>
          <cell r="B113" t="str">
            <v>4893056</v>
          </cell>
          <cell r="C113" t="str">
            <v>GenSvc Lg Vol4 Trnsp</v>
          </cell>
          <cell r="D113">
            <v>-805978.25</v>
          </cell>
          <cell r="E113">
            <v>-786078.39</v>
          </cell>
          <cell r="F113">
            <v>-806125.72</v>
          </cell>
          <cell r="G113">
            <v>-790370.4</v>
          </cell>
          <cell r="H113">
            <v>-705844.8</v>
          </cell>
          <cell r="I113">
            <v>-733404.2</v>
          </cell>
          <cell r="J113">
            <v>-775103.64</v>
          </cell>
          <cell r="K113">
            <v>-721315.87</v>
          </cell>
          <cell r="L113">
            <v>-774160.64</v>
          </cell>
          <cell r="M113">
            <v>-793566.11</v>
          </cell>
          <cell r="N113">
            <v>-814323.74</v>
          </cell>
          <cell r="O113">
            <v>-838736.59</v>
          </cell>
          <cell r="P113">
            <v>-903386.67</v>
          </cell>
          <cell r="Q113">
            <v>-861009.59</v>
          </cell>
          <cell r="R113">
            <v>-887852.57</v>
          </cell>
          <cell r="S113">
            <v>-839700.56</v>
          </cell>
          <cell r="T113">
            <v>-737942.7</v>
          </cell>
          <cell r="U113">
            <v>-820687.12</v>
          </cell>
          <cell r="V113">
            <v>-785267.11</v>
          </cell>
          <cell r="W113">
            <v>-879568.18</v>
          </cell>
          <cell r="X113">
            <v>-813176.64</v>
          </cell>
          <cell r="Y113">
            <v>-813528.4</v>
          </cell>
          <cell r="Z113">
            <v>-797070.33</v>
          </cell>
          <cell r="AA113">
            <v>-864584.47</v>
          </cell>
          <cell r="AB113">
            <v>-994792.3</v>
          </cell>
          <cell r="AC113">
            <v>-998149.22</v>
          </cell>
          <cell r="AD113">
            <v>-986524.19</v>
          </cell>
          <cell r="AE113">
            <v>-929552.25</v>
          </cell>
          <cell r="AF113">
            <v>-860843.75</v>
          </cell>
          <cell r="AG113">
            <v>-860169.62</v>
          </cell>
          <cell r="AH113">
            <v>-1187458.1200000001</v>
          </cell>
          <cell r="AI113">
            <v>-573063.35</v>
          </cell>
          <cell r="AJ113">
            <v>-935252.18</v>
          </cell>
          <cell r="AK113">
            <v>-879166.15</v>
          </cell>
          <cell r="AL113">
            <v>-886030.51</v>
          </cell>
          <cell r="AM113">
            <v>-929297.11</v>
          </cell>
          <cell r="AN113">
            <v>-1042235.77</v>
          </cell>
          <cell r="AO113">
            <v>-873599.34</v>
          </cell>
          <cell r="AP113">
            <v>-956999.94</v>
          </cell>
          <cell r="AQ113">
            <v>-951388.19</v>
          </cell>
          <cell r="AR113">
            <v>-891462.18</v>
          </cell>
          <cell r="AS113">
            <v>-900859.79</v>
          </cell>
          <cell r="AT113">
            <v>-847184.88</v>
          </cell>
          <cell r="AU113">
            <v>-856777.83</v>
          </cell>
          <cell r="AV113">
            <v>-964607.79</v>
          </cell>
          <cell r="AW113">
            <v>-870100.58</v>
          </cell>
          <cell r="AX113">
            <v>-913785.11</v>
          </cell>
          <cell r="AY113">
            <v>-1022172.11</v>
          </cell>
          <cell r="AZ113">
            <v>-930325.7</v>
          </cell>
          <cell r="BA113">
            <v>-855524.75</v>
          </cell>
          <cell r="BB113">
            <v>-1069307.8600000001</v>
          </cell>
          <cell r="BC113">
            <v>-920235.71</v>
          </cell>
          <cell r="BD113">
            <v>-880366.24</v>
          </cell>
          <cell r="BE113">
            <v>-898288.72</v>
          </cell>
          <cell r="BF113">
            <v>-903412.06</v>
          </cell>
          <cell r="BG113">
            <v>-882117.93</v>
          </cell>
          <cell r="BH113">
            <v>-934961.47</v>
          </cell>
          <cell r="BI113">
            <v>-891723.44</v>
          </cell>
          <cell r="BJ113">
            <v>-818702.23</v>
          </cell>
          <cell r="BK113">
            <v>-941583.77</v>
          </cell>
          <cell r="BL113">
            <v>-1002243.17</v>
          </cell>
          <cell r="BM113">
            <v>-923160.09</v>
          </cell>
          <cell r="BN113">
            <v>-934108.92</v>
          </cell>
          <cell r="BO113">
            <v>-803039.24</v>
          </cell>
          <cell r="BP113">
            <v>-830670.73</v>
          </cell>
          <cell r="BQ113">
            <v>-820529.12</v>
          </cell>
          <cell r="BR113">
            <v>-880509.08</v>
          </cell>
          <cell r="BS113">
            <v>-937548.08</v>
          </cell>
          <cell r="BT113">
            <v>-879449.78</v>
          </cell>
          <cell r="BU113">
            <v>-823841.43</v>
          </cell>
          <cell r="BV113">
            <v>-893858.07</v>
          </cell>
          <cell r="BW113">
            <v>-1088454.77</v>
          </cell>
          <cell r="BX113">
            <v>-813869.67</v>
          </cell>
          <cell r="BY113">
            <v>-911147.67</v>
          </cell>
          <cell r="BZ113">
            <v>-894383.69</v>
          </cell>
          <cell r="CA113">
            <v>-789669.22</v>
          </cell>
          <cell r="CB113">
            <v>-865090.53</v>
          </cell>
          <cell r="CC113">
            <v>-849962.21</v>
          </cell>
          <cell r="CD113">
            <v>-850610.01</v>
          </cell>
          <cell r="CE113">
            <v>-837734.14</v>
          </cell>
          <cell r="CF113">
            <v>-878875.79</v>
          </cell>
          <cell r="CG113">
            <v>-959068.49</v>
          </cell>
          <cell r="CH113">
            <v>-985413.18</v>
          </cell>
          <cell r="CI113">
            <v>-934050.23</v>
          </cell>
          <cell r="CJ113">
            <v>-1343972.12</v>
          </cell>
          <cell r="CK113">
            <v>-1213513.71</v>
          </cell>
          <cell r="CL113">
            <v>-1133652.06</v>
          </cell>
          <cell r="CM113">
            <v>-1275897.45</v>
          </cell>
          <cell r="CN113">
            <v>-1142449.5900000001</v>
          </cell>
          <cell r="CO113">
            <v>-1181937.24</v>
          </cell>
          <cell r="CP113">
            <v>-1011380.24</v>
          </cell>
          <cell r="CQ113">
            <v>-994267.38</v>
          </cell>
          <cell r="CR113">
            <v>-1005608.36</v>
          </cell>
          <cell r="CS113">
            <v>-1031080.72</v>
          </cell>
          <cell r="CT113">
            <v>-977910.7</v>
          </cell>
          <cell r="CU113">
            <v>-990000.96</v>
          </cell>
          <cell r="CV113">
            <v>-1078955.54</v>
          </cell>
          <cell r="CW113">
            <v>-1028632.12</v>
          </cell>
          <cell r="CX113">
            <v>-1073577.1299999999</v>
          </cell>
          <cell r="CY113">
            <v>-926194.57</v>
          </cell>
          <cell r="CZ113">
            <v>-1011490.62</v>
          </cell>
          <cell r="DA113">
            <v>-977768.76</v>
          </cell>
          <cell r="DB113">
            <v>-877737.11</v>
          </cell>
          <cell r="DC113">
            <v>-899501.71</v>
          </cell>
          <cell r="DD113">
            <v>-841047.18</v>
          </cell>
          <cell r="DE113">
            <v>-935481.54</v>
          </cell>
          <cell r="DF113">
            <v>-840201.14</v>
          </cell>
          <cell r="DG113">
            <v>-979257.59</v>
          </cell>
          <cell r="DH113">
            <v>-11469845.010000002</v>
          </cell>
        </row>
        <row r="114">
          <cell r="A114" t="str">
            <v>4893057</v>
          </cell>
          <cell r="B114" t="str">
            <v>4893057</v>
          </cell>
          <cell r="C114" t="str">
            <v>GS Lg V4 Trnsp Swing</v>
          </cell>
          <cell r="D114">
            <v>-35769.199999999997</v>
          </cell>
          <cell r="E114">
            <v>-34731.22</v>
          </cell>
          <cell r="F114">
            <v>-34528.53</v>
          </cell>
          <cell r="G114">
            <v>-34876.06</v>
          </cell>
          <cell r="H114">
            <v>-30512.61</v>
          </cell>
          <cell r="I114">
            <v>-32270.400000000001</v>
          </cell>
          <cell r="J114">
            <v>-32149.45</v>
          </cell>
          <cell r="K114">
            <v>-32437.42</v>
          </cell>
          <cell r="L114">
            <v>-33462.660000000003</v>
          </cell>
          <cell r="M114">
            <v>-34346.800000000003</v>
          </cell>
          <cell r="N114">
            <v>-36572.42</v>
          </cell>
          <cell r="O114">
            <v>-36809.949999999997</v>
          </cell>
          <cell r="P114">
            <v>-39486.82</v>
          </cell>
          <cell r="Q114">
            <v>-37449.519999999997</v>
          </cell>
          <cell r="R114">
            <v>-39555.040000000001</v>
          </cell>
          <cell r="S114">
            <v>-37759.15</v>
          </cell>
          <cell r="T114">
            <v>-29928.1</v>
          </cell>
          <cell r="U114">
            <v>-37349.69</v>
          </cell>
          <cell r="V114">
            <v>-33611.81</v>
          </cell>
          <cell r="W114">
            <v>-39608.53</v>
          </cell>
          <cell r="X114">
            <v>-34056.959999999999</v>
          </cell>
          <cell r="Y114">
            <v>-32781.72</v>
          </cell>
          <cell r="Z114">
            <v>-33228.5</v>
          </cell>
          <cell r="AA114">
            <v>-22169.83</v>
          </cell>
          <cell r="AB114">
            <v>-27168.05</v>
          </cell>
          <cell r="AC114">
            <v>-26761.79</v>
          </cell>
          <cell r="AD114">
            <v>-26348.91</v>
          </cell>
          <cell r="AE114">
            <v>-25471.58</v>
          </cell>
          <cell r="AF114">
            <v>-20207</v>
          </cell>
          <cell r="AG114">
            <v>-21567.74</v>
          </cell>
          <cell r="AH114">
            <v>-39341.15</v>
          </cell>
          <cell r="AI114">
            <v>-5827.52</v>
          </cell>
          <cell r="AJ114">
            <v>-24498.880000000001</v>
          </cell>
          <cell r="AK114">
            <v>-21825.26</v>
          </cell>
          <cell r="AL114">
            <v>-22274.93</v>
          </cell>
          <cell r="AM114">
            <v>-23938.46</v>
          </cell>
          <cell r="AN114">
            <v>-28986.44</v>
          </cell>
          <cell r="AO114">
            <v>-22779.05</v>
          </cell>
          <cell r="AP114">
            <v>-24197.63</v>
          </cell>
          <cell r="AQ114">
            <v>-25197.41</v>
          </cell>
          <cell r="AR114">
            <v>-21935.81</v>
          </cell>
          <cell r="AS114">
            <v>-21987.1</v>
          </cell>
          <cell r="AT114">
            <v>-20246.73</v>
          </cell>
          <cell r="AU114">
            <v>-19423.95</v>
          </cell>
          <cell r="AV114">
            <v>-25985.66</v>
          </cell>
          <cell r="AW114">
            <v>-18266.310000000001</v>
          </cell>
          <cell r="AX114">
            <v>-20568.439999999999</v>
          </cell>
          <cell r="AY114">
            <v>-27279.67</v>
          </cell>
          <cell r="AZ114">
            <v>-18938.16</v>
          </cell>
          <cell r="BA114">
            <v>-22876.59</v>
          </cell>
          <cell r="BB114">
            <v>-20700.310000000001</v>
          </cell>
          <cell r="BC114">
            <v>-21281.91</v>
          </cell>
          <cell r="BD114">
            <v>-18972.939999999999</v>
          </cell>
          <cell r="BE114">
            <v>-20623.18</v>
          </cell>
          <cell r="BF114">
            <v>-20339.57</v>
          </cell>
          <cell r="BG114">
            <v>-19065.939999999999</v>
          </cell>
          <cell r="BH114">
            <v>-22846.880000000001</v>
          </cell>
          <cell r="BI114">
            <v>-20086.86</v>
          </cell>
          <cell r="BJ114">
            <v>-18225.87</v>
          </cell>
          <cell r="BK114">
            <v>-23639.86</v>
          </cell>
          <cell r="BL114">
            <v>-27093.919999999998</v>
          </cell>
          <cell r="BM114">
            <v>-25680.38</v>
          </cell>
          <cell r="BN114">
            <v>-23269.41</v>
          </cell>
          <cell r="BO114">
            <v>-22770.03</v>
          </cell>
          <cell r="BP114">
            <v>-21053.11</v>
          </cell>
          <cell r="BQ114">
            <v>-21601.56</v>
          </cell>
          <cell r="BR114">
            <v>-23056.16</v>
          </cell>
          <cell r="BS114">
            <v>-24050.12</v>
          </cell>
          <cell r="BT114">
            <v>-24174.09</v>
          </cell>
          <cell r="BU114">
            <v>-18133.810000000001</v>
          </cell>
          <cell r="BV114">
            <v>-22155.49</v>
          </cell>
          <cell r="BW114">
            <v>-33072</v>
          </cell>
          <cell r="BX114">
            <v>-17864.810000000001</v>
          </cell>
          <cell r="BY114">
            <v>-23361.05</v>
          </cell>
          <cell r="BZ114">
            <v>-24110.1</v>
          </cell>
          <cell r="CA114">
            <v>-20253.63</v>
          </cell>
          <cell r="CB114">
            <v>-22164.12</v>
          </cell>
          <cell r="CC114">
            <v>-21407.09</v>
          </cell>
          <cell r="CD114">
            <v>-22377.59</v>
          </cell>
          <cell r="CE114">
            <v>-21608.16</v>
          </cell>
          <cell r="CF114">
            <v>-21184.48</v>
          </cell>
          <cell r="CG114">
            <v>-21985.06</v>
          </cell>
          <cell r="CH114">
            <v>-23041.08</v>
          </cell>
          <cell r="CI114">
            <v>-23011.45</v>
          </cell>
          <cell r="CJ114">
            <v>-27835.01</v>
          </cell>
          <cell r="CK114">
            <v>-23593.94</v>
          </cell>
          <cell r="CL114">
            <v>-22947.07</v>
          </cell>
          <cell r="CM114">
            <v>-24363.82</v>
          </cell>
          <cell r="CN114">
            <v>-23446.73</v>
          </cell>
          <cell r="CO114">
            <v>-22835.16</v>
          </cell>
          <cell r="CP114">
            <v>-24106.11</v>
          </cell>
          <cell r="CQ114">
            <v>-23975.53</v>
          </cell>
          <cell r="CR114">
            <v>-26057.88</v>
          </cell>
          <cell r="CS114">
            <v>-25091.119999999999</v>
          </cell>
          <cell r="CT114">
            <v>-22601.81</v>
          </cell>
          <cell r="CU114">
            <v>-23379.21</v>
          </cell>
          <cell r="CV114">
            <v>-24722.62</v>
          </cell>
          <cell r="CW114">
            <v>-23300.86</v>
          </cell>
          <cell r="CX114">
            <v>-24086.78</v>
          </cell>
          <cell r="CY114">
            <v>-20754.77</v>
          </cell>
          <cell r="CZ114">
            <v>-21888.87</v>
          </cell>
          <cell r="DA114">
            <v>-21975.38</v>
          </cell>
          <cell r="DB114">
            <v>-23412.2</v>
          </cell>
          <cell r="DC114">
            <v>-23472.23</v>
          </cell>
          <cell r="DD114">
            <v>-22171.67</v>
          </cell>
          <cell r="DE114">
            <v>-23826.46</v>
          </cell>
          <cell r="DF114">
            <v>-22639.77</v>
          </cell>
          <cell r="DG114">
            <v>-25552.38</v>
          </cell>
          <cell r="DH114">
            <v>-277803.99</v>
          </cell>
        </row>
        <row r="115">
          <cell r="A115" t="str">
            <v>4893058</v>
          </cell>
          <cell r="B115" t="str">
            <v>4893058</v>
          </cell>
          <cell r="C115" t="str">
            <v>GenSvc Lg Vol5 Trnsp</v>
          </cell>
          <cell r="D115">
            <v>-1128971.97</v>
          </cell>
          <cell r="E115">
            <v>-1061864.6200000001</v>
          </cell>
          <cell r="F115">
            <v>-1126492.28</v>
          </cell>
          <cell r="G115">
            <v>-1095755.8600000001</v>
          </cell>
          <cell r="H115">
            <v>-1038169.43</v>
          </cell>
          <cell r="I115">
            <v>-1065402.1399999999</v>
          </cell>
          <cell r="J115">
            <v>-1018485.39</v>
          </cell>
          <cell r="K115">
            <v>-985029.13</v>
          </cell>
          <cell r="L115">
            <v>-1001340.98</v>
          </cell>
          <cell r="M115">
            <v>-1094381.68</v>
          </cell>
          <cell r="N115">
            <v>-1090222.76</v>
          </cell>
          <cell r="O115">
            <v>-1124779.8</v>
          </cell>
          <cell r="P115">
            <v>-1216865.1000000001</v>
          </cell>
          <cell r="Q115">
            <v>-1132293.3500000001</v>
          </cell>
          <cell r="R115">
            <v>-1225355.44</v>
          </cell>
          <cell r="S115">
            <v>-1071428.77</v>
          </cell>
          <cell r="T115">
            <v>-1067929.24</v>
          </cell>
          <cell r="U115">
            <v>-1013504.09</v>
          </cell>
          <cell r="V115">
            <v>-1038088.25</v>
          </cell>
          <cell r="W115">
            <v>-1048677.99</v>
          </cell>
          <cell r="X115">
            <v>-1026166.32</v>
          </cell>
          <cell r="Y115">
            <v>-1111196.93</v>
          </cell>
          <cell r="Z115">
            <v>-1043585.65</v>
          </cell>
          <cell r="AA115">
            <v>-1215810.49</v>
          </cell>
          <cell r="AB115">
            <v>-1304919.6200000001</v>
          </cell>
          <cell r="AC115">
            <v>-1240727.33</v>
          </cell>
          <cell r="AD115">
            <v>-1294281.29</v>
          </cell>
          <cell r="AE115">
            <v>-1130562.06</v>
          </cell>
          <cell r="AF115">
            <v>-1160868.24</v>
          </cell>
          <cell r="AG115">
            <v>-1128723.28</v>
          </cell>
          <cell r="AH115">
            <v>-1080550.24</v>
          </cell>
          <cell r="AI115">
            <v>-1105872.18</v>
          </cell>
          <cell r="AJ115">
            <v>-1112995.21</v>
          </cell>
          <cell r="AK115">
            <v>-1183318.58</v>
          </cell>
          <cell r="AL115">
            <v>-1210293.78</v>
          </cell>
          <cell r="AM115">
            <v>-1195703.95</v>
          </cell>
          <cell r="AN115">
            <v>-1276585.81</v>
          </cell>
          <cell r="AO115">
            <v>-1131886.45</v>
          </cell>
          <cell r="AP115">
            <v>-1322839.97</v>
          </cell>
          <cell r="AQ115">
            <v>-1202824.8700000001</v>
          </cell>
          <cell r="AR115">
            <v>-1207442.19</v>
          </cell>
          <cell r="AS115">
            <v>-1175330.1100000001</v>
          </cell>
          <cell r="AT115">
            <v>-1214807.93</v>
          </cell>
          <cell r="AU115">
            <v>-1205128.1200000001</v>
          </cell>
          <cell r="AV115">
            <v>-1183897.05</v>
          </cell>
          <cell r="AW115">
            <v>-1169397.96</v>
          </cell>
          <cell r="AX115">
            <v>-1255662.22</v>
          </cell>
          <cell r="AY115">
            <v>-1312710.3</v>
          </cell>
          <cell r="AZ115">
            <v>-1488437.17</v>
          </cell>
          <cell r="BA115">
            <v>-1245426.08</v>
          </cell>
          <cell r="BB115">
            <v>-1391671.27</v>
          </cell>
          <cell r="BC115">
            <v>-1374811.46</v>
          </cell>
          <cell r="BD115">
            <v>-1170458.1100000001</v>
          </cell>
          <cell r="BE115">
            <v>-1298893.51</v>
          </cell>
          <cell r="BF115">
            <v>-1266229.8500000001</v>
          </cell>
          <cell r="BG115">
            <v>-1260504.67</v>
          </cell>
          <cell r="BH115">
            <v>-1197070.43</v>
          </cell>
          <cell r="BI115">
            <v>-1321483.6599999999</v>
          </cell>
          <cell r="BJ115">
            <v>-1332077.6200000001</v>
          </cell>
          <cell r="BK115">
            <v>-1365630.92</v>
          </cell>
          <cell r="BL115">
            <v>-1361998.37</v>
          </cell>
          <cell r="BM115">
            <v>-1295328.3</v>
          </cell>
          <cell r="BN115">
            <v>-1340330.75</v>
          </cell>
          <cell r="BO115">
            <v>-1343029.32</v>
          </cell>
          <cell r="BP115">
            <v>-1310472.43</v>
          </cell>
          <cell r="BQ115">
            <v>-1217886.92</v>
          </cell>
          <cell r="BR115">
            <v>-1209752.6200000001</v>
          </cell>
          <cell r="BS115">
            <v>-1222785.75</v>
          </cell>
          <cell r="BT115">
            <v>-1188353.6100000001</v>
          </cell>
          <cell r="BU115">
            <v>-1308779.6100000001</v>
          </cell>
          <cell r="BV115">
            <v>-1315400.68</v>
          </cell>
          <cell r="BW115">
            <v>-1424764.73</v>
          </cell>
          <cell r="BX115">
            <v>-1497323.42</v>
          </cell>
          <cell r="BY115">
            <v>-1408549.33</v>
          </cell>
          <cell r="BZ115">
            <v>-1383859.34</v>
          </cell>
          <cell r="CA115">
            <v>-1192303.73</v>
          </cell>
          <cell r="CB115">
            <v>-1216783.97</v>
          </cell>
          <cell r="CC115">
            <v>-1170963.93</v>
          </cell>
          <cell r="CD115">
            <v>-1282491.52</v>
          </cell>
          <cell r="CE115">
            <v>-1193283.04</v>
          </cell>
          <cell r="CF115">
            <v>-1161680.1599999999</v>
          </cell>
          <cell r="CG115">
            <v>-1278742.19</v>
          </cell>
          <cell r="CH115">
            <v>-1214648.72</v>
          </cell>
          <cell r="CI115">
            <v>-1343247.26</v>
          </cell>
          <cell r="CJ115">
            <v>-1636485.86</v>
          </cell>
          <cell r="CK115">
            <v>-1528912.89</v>
          </cell>
          <cell r="CL115">
            <v>-1661704.73</v>
          </cell>
          <cell r="CM115">
            <v>-1797699.71</v>
          </cell>
          <cell r="CN115">
            <v>-1505845.36</v>
          </cell>
          <cell r="CO115">
            <v>-1634362.19</v>
          </cell>
          <cell r="CP115">
            <v>-1747802.84</v>
          </cell>
          <cell r="CQ115">
            <v>-1683797.17</v>
          </cell>
          <cell r="CR115">
            <v>-1689003.82</v>
          </cell>
          <cell r="CS115">
            <v>-1750971.97</v>
          </cell>
          <cell r="CT115">
            <v>-1767988.72</v>
          </cell>
          <cell r="CU115">
            <v>-1832900.17</v>
          </cell>
          <cell r="CV115">
            <v>-1824771.17</v>
          </cell>
          <cell r="CW115">
            <v>-1937601.74</v>
          </cell>
          <cell r="CX115">
            <v>-1916860.21</v>
          </cell>
          <cell r="CY115">
            <v>-1879915.84</v>
          </cell>
          <cell r="CZ115">
            <v>-1810920.13</v>
          </cell>
          <cell r="DA115">
            <v>-1868641.91</v>
          </cell>
          <cell r="DB115">
            <v>-1943190.53</v>
          </cell>
          <cell r="DC115">
            <v>-1832228.26</v>
          </cell>
          <cell r="DD115">
            <v>-1837342.95</v>
          </cell>
          <cell r="DE115">
            <v>-1968257.41</v>
          </cell>
          <cell r="DF115">
            <v>-1920003.09</v>
          </cell>
          <cell r="DG115">
            <v>-2050296.38</v>
          </cell>
          <cell r="DH115">
            <v>-22790029.619999997</v>
          </cell>
        </row>
        <row r="116">
          <cell r="A116" t="str">
            <v>4893059</v>
          </cell>
          <cell r="B116" t="str">
            <v>4893059</v>
          </cell>
          <cell r="C116" t="str">
            <v>GS Lg V5 Trnsp Swing</v>
          </cell>
          <cell r="D116">
            <v>-17166.14</v>
          </cell>
          <cell r="E116">
            <v>-18406.29</v>
          </cell>
          <cell r="F116">
            <v>-16769.68</v>
          </cell>
          <cell r="G116">
            <v>-17288.84</v>
          </cell>
          <cell r="H116">
            <v>-15401.94</v>
          </cell>
          <cell r="I116">
            <v>-21076.86</v>
          </cell>
          <cell r="J116">
            <v>-17306.88</v>
          </cell>
          <cell r="K116">
            <v>-12736.84</v>
          </cell>
          <cell r="L116">
            <v>-15060.75</v>
          </cell>
          <cell r="M116">
            <v>-15027.99</v>
          </cell>
          <cell r="N116">
            <v>-15428.14</v>
          </cell>
          <cell r="O116">
            <v>-17002.060000000001</v>
          </cell>
          <cell r="P116">
            <v>-18841.27</v>
          </cell>
          <cell r="Q116">
            <v>-18311.75</v>
          </cell>
          <cell r="R116">
            <v>-18848.71</v>
          </cell>
          <cell r="S116">
            <v>-18257.29</v>
          </cell>
          <cell r="T116">
            <v>-15522.11</v>
          </cell>
          <cell r="U116">
            <v>-16915.349999999999</v>
          </cell>
          <cell r="V116">
            <v>-17150.310000000001</v>
          </cell>
          <cell r="W116">
            <v>-17054.060000000001</v>
          </cell>
          <cell r="X116">
            <v>-15954.6</v>
          </cell>
          <cell r="Y116">
            <v>-16022.58</v>
          </cell>
          <cell r="Z116">
            <v>-13317.79</v>
          </cell>
          <cell r="AA116">
            <v>-16743.52</v>
          </cell>
          <cell r="AB116">
            <v>-10113.799999999999</v>
          </cell>
          <cell r="AC116">
            <v>-12780.55</v>
          </cell>
          <cell r="AD116">
            <v>-13392.28</v>
          </cell>
          <cell r="AE116">
            <v>-10709.62</v>
          </cell>
          <cell r="AF116">
            <v>-12704.36</v>
          </cell>
          <cell r="AG116">
            <v>-13084.59</v>
          </cell>
          <cell r="AH116">
            <v>-11648.68</v>
          </cell>
          <cell r="AI116">
            <v>-11997.61</v>
          </cell>
          <cell r="AJ116">
            <v>-13078.71</v>
          </cell>
          <cell r="AK116">
            <v>-11579.45</v>
          </cell>
          <cell r="AL116">
            <v>-12386.83</v>
          </cell>
          <cell r="AM116">
            <v>-12707.82</v>
          </cell>
          <cell r="AN116">
            <v>-14673.08</v>
          </cell>
          <cell r="AO116">
            <v>-12368.91</v>
          </cell>
          <cell r="AP116">
            <v>-13083.75</v>
          </cell>
          <cell r="AQ116">
            <v>-12731.67</v>
          </cell>
          <cell r="AR116">
            <v>-12483.34</v>
          </cell>
          <cell r="AS116">
            <v>-13214.04</v>
          </cell>
          <cell r="AT116">
            <v>-15417.06</v>
          </cell>
          <cell r="AU116">
            <v>-11461.7</v>
          </cell>
          <cell r="AV116">
            <v>-17713.400000000001</v>
          </cell>
          <cell r="AW116">
            <v>-7446.24</v>
          </cell>
          <cell r="AX116">
            <v>-13188.23</v>
          </cell>
          <cell r="AY116">
            <v>-13194.88</v>
          </cell>
          <cell r="AZ116">
            <v>-14993.46</v>
          </cell>
          <cell r="BA116">
            <v>-12283.62</v>
          </cell>
          <cell r="BB116">
            <v>-12909.29</v>
          </cell>
          <cell r="BC116">
            <v>-17743.3</v>
          </cell>
          <cell r="BD116">
            <v>-5881.3</v>
          </cell>
          <cell r="BE116">
            <v>-10960.93</v>
          </cell>
          <cell r="BF116">
            <v>-10339.26</v>
          </cell>
          <cell r="BG116">
            <v>-10677.04</v>
          </cell>
          <cell r="BH116">
            <v>-11593.21</v>
          </cell>
          <cell r="BI116">
            <v>-11115.86</v>
          </cell>
          <cell r="BJ116">
            <v>-11076.05</v>
          </cell>
          <cell r="BK116">
            <v>-12365.68</v>
          </cell>
          <cell r="BL116">
            <v>-12972.76</v>
          </cell>
          <cell r="BM116">
            <v>-12815.97</v>
          </cell>
          <cell r="BN116">
            <v>-12240.85</v>
          </cell>
          <cell r="BO116">
            <v>-12298.93</v>
          </cell>
          <cell r="BP116">
            <v>-12659.92</v>
          </cell>
          <cell r="BQ116">
            <v>-10857.77</v>
          </cell>
          <cell r="BR116">
            <v>-9987.9500000000007</v>
          </cell>
          <cell r="BS116">
            <v>-10434.549999999999</v>
          </cell>
          <cell r="BT116">
            <v>-10060.870000000001</v>
          </cell>
          <cell r="BU116">
            <v>-14220.85</v>
          </cell>
          <cell r="BV116">
            <v>-10814.22</v>
          </cell>
          <cell r="BW116">
            <v>-18726.63</v>
          </cell>
          <cell r="BX116">
            <v>-15550.88</v>
          </cell>
          <cell r="BY116">
            <v>-14465.68</v>
          </cell>
          <cell r="BZ116">
            <v>-13703.24</v>
          </cell>
          <cell r="CA116">
            <v>-12409.08</v>
          </cell>
          <cell r="CB116">
            <v>-12373.43</v>
          </cell>
          <cell r="CC116">
            <v>-12380.47</v>
          </cell>
          <cell r="CD116">
            <v>-13837.62</v>
          </cell>
          <cell r="CE116">
            <v>-10639.84</v>
          </cell>
          <cell r="CF116">
            <v>-10078.1</v>
          </cell>
          <cell r="CG116">
            <v>-11846.88</v>
          </cell>
          <cell r="CH116">
            <v>-11412.79</v>
          </cell>
          <cell r="CI116">
            <v>-14562.76</v>
          </cell>
          <cell r="CJ116">
            <v>-14334.65</v>
          </cell>
          <cell r="CK116">
            <v>-13155.81</v>
          </cell>
          <cell r="CL116">
            <v>-11248.59</v>
          </cell>
          <cell r="CM116">
            <v>-16374.63</v>
          </cell>
          <cell r="CN116">
            <v>-10279.77</v>
          </cell>
          <cell r="CO116">
            <v>-13252.49</v>
          </cell>
          <cell r="CP116">
            <v>-14860.49</v>
          </cell>
          <cell r="CQ116">
            <v>-9259.26</v>
          </cell>
          <cell r="CR116">
            <v>-11248.04</v>
          </cell>
          <cell r="CS116">
            <v>-10895.62</v>
          </cell>
          <cell r="CT116">
            <v>-11689.33</v>
          </cell>
          <cell r="CU116">
            <v>-12738.33</v>
          </cell>
          <cell r="CV116">
            <v>-10831.06</v>
          </cell>
          <cell r="CW116">
            <v>-10964.36</v>
          </cell>
          <cell r="CX116">
            <v>-10844.74</v>
          </cell>
          <cell r="CY116">
            <v>-10904.98</v>
          </cell>
          <cell r="CZ116">
            <v>-12735.7</v>
          </cell>
          <cell r="DA116">
            <v>-10158.5</v>
          </cell>
          <cell r="DB116">
            <v>-11716.66</v>
          </cell>
          <cell r="DC116">
            <v>-12388.62</v>
          </cell>
          <cell r="DD116">
            <v>-11857.2</v>
          </cell>
          <cell r="DE116">
            <v>-12491.18</v>
          </cell>
          <cell r="DF116">
            <v>-13394.19</v>
          </cell>
          <cell r="DG116">
            <v>-12678.7</v>
          </cell>
          <cell r="DH116">
            <v>-140965.89000000001</v>
          </cell>
        </row>
        <row r="117">
          <cell r="A117" t="str">
            <v>4893060</v>
          </cell>
          <cell r="B117" t="str">
            <v>4893060</v>
          </cell>
          <cell r="C117" t="str">
            <v>Intrpt Small Transp</v>
          </cell>
          <cell r="D117">
            <v>-533186</v>
          </cell>
          <cell r="E117">
            <v>-476666.31</v>
          </cell>
          <cell r="F117">
            <v>-514447.95</v>
          </cell>
          <cell r="G117">
            <v>-473757.07</v>
          </cell>
          <cell r="H117">
            <v>-476908.04</v>
          </cell>
          <cell r="I117">
            <v>-440271.54</v>
          </cell>
          <cell r="J117">
            <v>-436960.49</v>
          </cell>
          <cell r="K117">
            <v>-431194.32</v>
          </cell>
          <cell r="L117">
            <v>-419661.01</v>
          </cell>
          <cell r="M117">
            <v>-447279.19</v>
          </cell>
          <cell r="N117">
            <v>-461896.2</v>
          </cell>
          <cell r="O117">
            <v>-454137.83</v>
          </cell>
          <cell r="P117">
            <v>-496630.24</v>
          </cell>
          <cell r="Q117">
            <v>-487004.77</v>
          </cell>
          <cell r="R117">
            <v>-450076.29</v>
          </cell>
          <cell r="S117">
            <v>-435811.7</v>
          </cell>
          <cell r="T117">
            <v>-430015.27</v>
          </cell>
          <cell r="U117">
            <v>-431218.19</v>
          </cell>
          <cell r="V117">
            <v>-416448.14</v>
          </cell>
          <cell r="W117">
            <v>-424156.58</v>
          </cell>
          <cell r="X117">
            <v>-430324.7</v>
          </cell>
          <cell r="Y117">
            <v>-418315.81</v>
          </cell>
          <cell r="Z117">
            <v>-421903.03</v>
          </cell>
          <cell r="AA117">
            <v>-428192.93</v>
          </cell>
          <cell r="AB117">
            <v>-483151.1</v>
          </cell>
          <cell r="AC117">
            <v>-460570.16</v>
          </cell>
          <cell r="AD117">
            <v>-461757.74</v>
          </cell>
          <cell r="AE117">
            <v>-450026.78</v>
          </cell>
          <cell r="AF117">
            <v>-440006.04</v>
          </cell>
          <cell r="AG117">
            <v>-427545.09</v>
          </cell>
          <cell r="AH117">
            <v>-419351.73</v>
          </cell>
          <cell r="AI117">
            <v>-405979.42</v>
          </cell>
          <cell r="AJ117">
            <v>-409123.49</v>
          </cell>
          <cell r="AK117">
            <v>-428536.34</v>
          </cell>
          <cell r="AL117">
            <v>-425153.35</v>
          </cell>
          <cell r="AM117">
            <v>-466232.1</v>
          </cell>
          <cell r="AN117">
            <v>-451036.08</v>
          </cell>
          <cell r="AO117">
            <v>-432789.14</v>
          </cell>
          <cell r="AP117">
            <v>-441487.68</v>
          </cell>
          <cell r="AQ117">
            <v>-403945.53</v>
          </cell>
          <cell r="AR117">
            <v>-399018.8</v>
          </cell>
          <cell r="AS117">
            <v>-390760.53</v>
          </cell>
          <cell r="AT117">
            <v>-387819.42</v>
          </cell>
          <cell r="AU117">
            <v>-403601.54</v>
          </cell>
          <cell r="AV117">
            <v>-364144.13</v>
          </cell>
          <cell r="AW117">
            <v>-395070.4</v>
          </cell>
          <cell r="AX117">
            <v>-419376.54</v>
          </cell>
          <cell r="AY117">
            <v>-563414.99</v>
          </cell>
          <cell r="AZ117">
            <v>-481004.2</v>
          </cell>
          <cell r="BA117">
            <v>-409931.39</v>
          </cell>
          <cell r="BB117">
            <v>-449243.71</v>
          </cell>
          <cell r="BC117">
            <v>-418790.44</v>
          </cell>
          <cell r="BD117">
            <v>-412764.26</v>
          </cell>
          <cell r="BE117">
            <v>-409035.31</v>
          </cell>
          <cell r="BF117">
            <v>-409418.81</v>
          </cell>
          <cell r="BG117">
            <v>-413538.49</v>
          </cell>
          <cell r="BH117">
            <v>-396633.17</v>
          </cell>
          <cell r="BI117">
            <v>-400171.62</v>
          </cell>
          <cell r="BJ117">
            <v>-399145.29</v>
          </cell>
          <cell r="BK117">
            <v>-423234.55</v>
          </cell>
          <cell r="BL117">
            <v>-444881.47</v>
          </cell>
          <cell r="BM117">
            <v>-232331.24</v>
          </cell>
          <cell r="BN117">
            <v>-252903.52</v>
          </cell>
          <cell r="BO117">
            <v>-234351.01</v>
          </cell>
          <cell r="BP117">
            <v>-221827.57</v>
          </cell>
          <cell r="BQ117">
            <v>-205803.28</v>
          </cell>
          <cell r="BR117">
            <v>-218658.51</v>
          </cell>
          <cell r="BS117">
            <v>-217094.43</v>
          </cell>
          <cell r="BT117">
            <v>-209945.97</v>
          </cell>
          <cell r="BU117">
            <v>-225321.78</v>
          </cell>
          <cell r="BV117">
            <v>-252303.85</v>
          </cell>
          <cell r="BW117">
            <v>-231892.55</v>
          </cell>
          <cell r="BX117">
            <v>-260242.92</v>
          </cell>
          <cell r="BY117">
            <v>-234084.45</v>
          </cell>
          <cell r="BZ117">
            <v>-210589.39</v>
          </cell>
          <cell r="CA117">
            <v>-248777.57</v>
          </cell>
          <cell r="CB117">
            <v>-309712.8</v>
          </cell>
          <cell r="CC117">
            <v>-184368.55</v>
          </cell>
          <cell r="CD117">
            <v>-246818.42</v>
          </cell>
          <cell r="CE117">
            <v>-231374.44</v>
          </cell>
          <cell r="CF117">
            <v>-231025.27</v>
          </cell>
          <cell r="CG117">
            <v>-262343.31</v>
          </cell>
          <cell r="CH117">
            <v>-238376.78</v>
          </cell>
          <cell r="CI117">
            <v>-271902.78000000003</v>
          </cell>
          <cell r="CJ117">
            <v>-346229.64</v>
          </cell>
          <cell r="CK117">
            <v>-323645.49</v>
          </cell>
          <cell r="CL117">
            <v>-347519.3</v>
          </cell>
          <cell r="CM117">
            <v>-316243.92</v>
          </cell>
          <cell r="CN117">
            <v>-307697.11</v>
          </cell>
          <cell r="CO117">
            <v>-293141.14</v>
          </cell>
          <cell r="CP117">
            <v>-289741.18</v>
          </cell>
          <cell r="CQ117">
            <v>-290710.59999999998</v>
          </cell>
          <cell r="CR117">
            <v>-288428.38</v>
          </cell>
          <cell r="CS117">
            <v>-279834.08</v>
          </cell>
          <cell r="CT117">
            <v>-288853.49</v>
          </cell>
          <cell r="CU117">
            <v>-279454.98</v>
          </cell>
          <cell r="CV117">
            <v>-356296.85</v>
          </cell>
          <cell r="CW117">
            <v>-298983.42</v>
          </cell>
          <cell r="CX117">
            <v>-331312.11</v>
          </cell>
          <cell r="CY117">
            <v>-351208.09</v>
          </cell>
          <cell r="CZ117">
            <v>-329321</v>
          </cell>
          <cell r="DA117">
            <v>-296117.98</v>
          </cell>
          <cell r="DB117">
            <v>-339044.54</v>
          </cell>
          <cell r="DC117">
            <v>-257987.98</v>
          </cell>
          <cell r="DD117">
            <v>-313896.98</v>
          </cell>
          <cell r="DE117">
            <v>-307881.43</v>
          </cell>
          <cell r="DF117">
            <v>-322622.09999999998</v>
          </cell>
          <cell r="DG117">
            <v>-346021.88</v>
          </cell>
          <cell r="DH117">
            <v>-3850694.36</v>
          </cell>
        </row>
        <row r="118">
          <cell r="A118" t="str">
            <v>4893070</v>
          </cell>
          <cell r="B118" t="str">
            <v>4893070</v>
          </cell>
          <cell r="C118" t="str">
            <v>Intrpt Lg Vol1 Trnsp</v>
          </cell>
          <cell r="D118">
            <v>-709076.54</v>
          </cell>
          <cell r="E118">
            <v>-667305.18999999994</v>
          </cell>
          <cell r="F118">
            <v>-594203.28</v>
          </cell>
          <cell r="G118">
            <v>-659938.19999999995</v>
          </cell>
          <cell r="H118">
            <v>-633364.62</v>
          </cell>
          <cell r="I118">
            <v>-633504.18999999994</v>
          </cell>
          <cell r="J118">
            <v>-673197.75</v>
          </cell>
          <cell r="K118">
            <v>-652853.34</v>
          </cell>
          <cell r="L118">
            <v>-647313.92000000004</v>
          </cell>
          <cell r="M118">
            <v>-604848.86</v>
          </cell>
          <cell r="N118">
            <v>-526188.97</v>
          </cell>
          <cell r="O118">
            <v>-529007.73</v>
          </cell>
          <cell r="P118">
            <v>-577494.81000000006</v>
          </cell>
          <cell r="Q118">
            <v>-566076.23</v>
          </cell>
          <cell r="R118">
            <v>-620129.05000000005</v>
          </cell>
          <cell r="S118">
            <v>-638339.99</v>
          </cell>
          <cell r="T118">
            <v>-624575.13</v>
          </cell>
          <cell r="U118">
            <v>-799680.82</v>
          </cell>
          <cell r="V118">
            <v>-685490.34</v>
          </cell>
          <cell r="W118">
            <v>-699002.41</v>
          </cell>
          <cell r="X118">
            <v>-757601.55</v>
          </cell>
          <cell r="Y118">
            <v>-762299.45</v>
          </cell>
          <cell r="Z118">
            <v>-712985.92</v>
          </cell>
          <cell r="AA118">
            <v>-556569.56000000006</v>
          </cell>
          <cell r="AB118">
            <v>-592442.88</v>
          </cell>
          <cell r="AC118">
            <v>-559249.38</v>
          </cell>
          <cell r="AD118">
            <v>-653853.81999999995</v>
          </cell>
          <cell r="AE118">
            <v>-697600.61</v>
          </cell>
          <cell r="AF118">
            <v>-743559.93</v>
          </cell>
          <cell r="AG118">
            <v>-689815.61</v>
          </cell>
          <cell r="AH118">
            <v>-734956.03</v>
          </cell>
          <cell r="AI118">
            <v>-712430.78</v>
          </cell>
          <cell r="AJ118">
            <v>-759340.47</v>
          </cell>
          <cell r="AK118">
            <v>-673846.38</v>
          </cell>
          <cell r="AL118">
            <v>-687767.74</v>
          </cell>
          <cell r="AM118">
            <v>-539033.11</v>
          </cell>
          <cell r="AN118">
            <v>-591232.04</v>
          </cell>
          <cell r="AO118">
            <v>-578847.51</v>
          </cell>
          <cell r="AP118">
            <v>-626224.15</v>
          </cell>
          <cell r="AQ118">
            <v>-641536.9</v>
          </cell>
          <cell r="AR118">
            <v>-726815</v>
          </cell>
          <cell r="AS118">
            <v>-757827.81</v>
          </cell>
          <cell r="AT118">
            <v>-290868.14</v>
          </cell>
          <cell r="AU118">
            <v>-334610.28999999998</v>
          </cell>
          <cell r="AV118">
            <v>-440164.14</v>
          </cell>
          <cell r="AW118">
            <v>-390157</v>
          </cell>
          <cell r="AX118">
            <v>-813742.35</v>
          </cell>
          <cell r="AY118">
            <v>35609.339999999997</v>
          </cell>
          <cell r="AZ118">
            <v>-388530.27</v>
          </cell>
          <cell r="BA118">
            <v>-372462.53</v>
          </cell>
          <cell r="BB118">
            <v>-392270.98</v>
          </cell>
          <cell r="BC118">
            <v>-410858.62</v>
          </cell>
          <cell r="BD118">
            <v>-381530.37</v>
          </cell>
          <cell r="BE118">
            <v>-376276.36</v>
          </cell>
          <cell r="BF118">
            <v>-367962.47</v>
          </cell>
          <cell r="BG118">
            <v>-340408.55</v>
          </cell>
          <cell r="BH118">
            <v>-339527.37</v>
          </cell>
          <cell r="BI118">
            <v>-351206.28</v>
          </cell>
          <cell r="BJ118">
            <v>-376564.4</v>
          </cell>
          <cell r="BK118">
            <v>-357196.29</v>
          </cell>
          <cell r="BL118">
            <v>-403887.19</v>
          </cell>
          <cell r="BM118">
            <v>-343534.62</v>
          </cell>
          <cell r="BN118">
            <v>-330691.73</v>
          </cell>
          <cell r="BO118">
            <v>-357726.6</v>
          </cell>
          <cell r="BP118">
            <v>-348456.48</v>
          </cell>
          <cell r="BQ118">
            <v>-271999.35999999999</v>
          </cell>
          <cell r="BR118">
            <v>-316543.56</v>
          </cell>
          <cell r="BS118">
            <v>-209983.07</v>
          </cell>
          <cell r="BT118">
            <v>-419220.97</v>
          </cell>
          <cell r="BU118">
            <v>-353491.52</v>
          </cell>
          <cell r="BV118">
            <v>-353319.59</v>
          </cell>
          <cell r="BW118">
            <v>-409461.54</v>
          </cell>
          <cell r="BX118">
            <v>-401487.39</v>
          </cell>
          <cell r="BY118">
            <v>-387590.22</v>
          </cell>
          <cell r="BZ118">
            <v>-319867.67</v>
          </cell>
          <cell r="CA118">
            <v>-447278.77</v>
          </cell>
          <cell r="CB118">
            <v>-461157.72</v>
          </cell>
          <cell r="CC118">
            <v>-323948.03999999998</v>
          </cell>
          <cell r="CD118">
            <v>-312571.38</v>
          </cell>
          <cell r="CE118">
            <v>-400566.51</v>
          </cell>
          <cell r="CF118">
            <v>-383293.55</v>
          </cell>
          <cell r="CG118">
            <v>-392798.26</v>
          </cell>
          <cell r="CH118">
            <v>-404174.99</v>
          </cell>
          <cell r="CI118">
            <v>-392234.14</v>
          </cell>
          <cell r="CJ118">
            <v>-429329.34</v>
          </cell>
          <cell r="CK118">
            <v>-415632.55</v>
          </cell>
          <cell r="CL118">
            <v>-565423.07999999996</v>
          </cell>
          <cell r="CM118">
            <v>-826124.39</v>
          </cell>
          <cell r="CN118">
            <v>-269593.39</v>
          </cell>
          <cell r="CO118">
            <v>-510389.13</v>
          </cell>
          <cell r="CP118">
            <v>-493050</v>
          </cell>
          <cell r="CQ118">
            <v>-468802.25</v>
          </cell>
          <cell r="CR118">
            <v>-441228.72</v>
          </cell>
          <cell r="CS118">
            <v>-493307.64</v>
          </cell>
          <cell r="CT118">
            <v>-460213.59</v>
          </cell>
          <cell r="CU118">
            <v>-540710.57999999996</v>
          </cell>
          <cell r="CV118">
            <v>-648512.02</v>
          </cell>
          <cell r="CW118">
            <v>-544673.01</v>
          </cell>
          <cell r="CX118">
            <v>-652403.49</v>
          </cell>
          <cell r="CY118">
            <v>-570640.93000000005</v>
          </cell>
          <cell r="CZ118">
            <v>-499470.53</v>
          </cell>
          <cell r="DA118">
            <v>-492176.5</v>
          </cell>
          <cell r="DB118">
            <v>-510610.54</v>
          </cell>
          <cell r="DC118">
            <v>-565909.54</v>
          </cell>
          <cell r="DD118">
            <v>-435278.21</v>
          </cell>
          <cell r="DE118">
            <v>-542204.18999999994</v>
          </cell>
          <cell r="DF118">
            <v>-433534.63</v>
          </cell>
          <cell r="DG118">
            <v>-668130.61</v>
          </cell>
          <cell r="DH118">
            <v>-6563544.2000000011</v>
          </cell>
        </row>
        <row r="119">
          <cell r="A119" t="str">
            <v>4893080</v>
          </cell>
          <cell r="B119" t="str">
            <v>4893080</v>
          </cell>
          <cell r="C119" t="str">
            <v>Intrpt Lg Vol2 Trnsp</v>
          </cell>
          <cell r="D119">
            <v>-789137.07</v>
          </cell>
          <cell r="E119">
            <v>-497925.9</v>
          </cell>
          <cell r="F119">
            <v>-680849.44</v>
          </cell>
          <cell r="G119">
            <v>-497491.20000000001</v>
          </cell>
          <cell r="H119">
            <v>-549589</v>
          </cell>
          <cell r="I119">
            <v>-574242.71</v>
          </cell>
          <cell r="J119">
            <v>-614330.89</v>
          </cell>
          <cell r="K119">
            <v>-606208.63</v>
          </cell>
          <cell r="L119">
            <v>-493838.62</v>
          </cell>
          <cell r="M119">
            <v>-469749.23</v>
          </cell>
          <cell r="N119">
            <v>-547274.43000000005</v>
          </cell>
          <cell r="O119">
            <v>-267649.39</v>
          </cell>
          <cell r="P119">
            <v>-794409.93</v>
          </cell>
          <cell r="Q119">
            <v>-628707.97</v>
          </cell>
          <cell r="R119">
            <v>-574505.99</v>
          </cell>
          <cell r="S119">
            <v>-577904.38</v>
          </cell>
          <cell r="T119">
            <v>-663151.98</v>
          </cell>
          <cell r="U119">
            <v>-579620.73</v>
          </cell>
          <cell r="V119">
            <v>-567052.07999999996</v>
          </cell>
          <cell r="W119">
            <v>-531546.43000000005</v>
          </cell>
          <cell r="X119">
            <v>-517334.14</v>
          </cell>
          <cell r="Y119">
            <v>-525344.56999999995</v>
          </cell>
          <cell r="Z119">
            <v>-447728.22</v>
          </cell>
          <cell r="AA119">
            <v>-568003.55000000005</v>
          </cell>
          <cell r="AB119">
            <v>-866349.32</v>
          </cell>
          <cell r="AC119">
            <v>-715339.17</v>
          </cell>
          <cell r="AD119">
            <v>-485266.15</v>
          </cell>
          <cell r="AE119">
            <v>145596.84</v>
          </cell>
          <cell r="AF119">
            <v>477290.71</v>
          </cell>
          <cell r="AG119">
            <v>-663294.97</v>
          </cell>
          <cell r="AH119">
            <v>-705982.64</v>
          </cell>
          <cell r="AI119">
            <v>-519452</v>
          </cell>
          <cell r="AJ119">
            <v>-484968.04</v>
          </cell>
          <cell r="AK119">
            <v>-520494.43</v>
          </cell>
          <cell r="AL119">
            <v>-309826.8</v>
          </cell>
          <cell r="AM119">
            <v>-647100.79</v>
          </cell>
          <cell r="AN119">
            <v>-35861.949999999997</v>
          </cell>
          <cell r="AO119">
            <v>-36000</v>
          </cell>
          <cell r="AP119">
            <v>-36000</v>
          </cell>
          <cell r="AQ119">
            <v>-36000</v>
          </cell>
          <cell r="AR119">
            <v>-36000</v>
          </cell>
          <cell r="AS119">
            <v>-36000</v>
          </cell>
          <cell r="AT119">
            <v>-36000</v>
          </cell>
          <cell r="AU119">
            <v>-33612.39</v>
          </cell>
          <cell r="AV119">
            <v>-35109.61</v>
          </cell>
          <cell r="AW119">
            <v>-38387.61</v>
          </cell>
          <cell r="AX119">
            <v>394854.38</v>
          </cell>
          <cell r="AY119">
            <v>-469564.09</v>
          </cell>
          <cell r="AZ119">
            <v>-37191.519999999997</v>
          </cell>
          <cell r="BA119">
            <v>-41989.62</v>
          </cell>
          <cell r="BB119">
            <v>-36730.04</v>
          </cell>
          <cell r="BC119">
            <v>-38957.47</v>
          </cell>
          <cell r="BD119">
            <v>-46528.78</v>
          </cell>
          <cell r="BE119">
            <v>-40563.040000000001</v>
          </cell>
          <cell r="BF119">
            <v>-36000</v>
          </cell>
          <cell r="BG119">
            <v>-51130.23</v>
          </cell>
          <cell r="BH119">
            <v>-44768.38</v>
          </cell>
          <cell r="BI119">
            <v>-47502.8</v>
          </cell>
          <cell r="BJ119">
            <v>-45954.720000000001</v>
          </cell>
          <cell r="BK119">
            <v>-234980.03</v>
          </cell>
          <cell r="BL119">
            <v>-46719.45</v>
          </cell>
          <cell r="BM119">
            <v>10719.45</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row>
        <row r="120">
          <cell r="A120" t="str">
            <v>4893090</v>
          </cell>
          <cell r="B120" t="str">
            <v>4893090</v>
          </cell>
          <cell r="C120" t="str">
            <v>Intrpt Con Svc Trnsp</v>
          </cell>
          <cell r="AN120">
            <v>-466654.27</v>
          </cell>
          <cell r="AO120">
            <v>-394539.45</v>
          </cell>
          <cell r="AP120">
            <v>-554465.63</v>
          </cell>
          <cell r="AQ120">
            <v>-634305.98</v>
          </cell>
          <cell r="AR120">
            <v>-675985.8</v>
          </cell>
          <cell r="AS120">
            <v>-636059.61</v>
          </cell>
          <cell r="AT120">
            <v>-1052232.94</v>
          </cell>
          <cell r="AU120">
            <v>-1010769.12</v>
          </cell>
          <cell r="AV120">
            <v>-725543.42</v>
          </cell>
          <cell r="AW120">
            <v>-863130.43</v>
          </cell>
          <cell r="AX120">
            <v>-810940.23</v>
          </cell>
          <cell r="AY120">
            <v>-974725.78</v>
          </cell>
          <cell r="AZ120">
            <v>-836852.86</v>
          </cell>
          <cell r="BA120">
            <v>-816206.95</v>
          </cell>
          <cell r="BB120">
            <v>-991175.84</v>
          </cell>
          <cell r="BC120">
            <v>-984965.22</v>
          </cell>
          <cell r="BD120">
            <v>-1088467.31</v>
          </cell>
          <cell r="BE120">
            <v>-1014759.98</v>
          </cell>
          <cell r="BF120">
            <v>-999056.37</v>
          </cell>
          <cell r="BG120">
            <v>-879595.98</v>
          </cell>
          <cell r="BH120">
            <v>-931980.83</v>
          </cell>
          <cell r="BI120">
            <v>-909430.68</v>
          </cell>
          <cell r="BJ120">
            <v>-841804.4</v>
          </cell>
          <cell r="BK120">
            <v>-738268.85</v>
          </cell>
          <cell r="BL120">
            <v>-844108.6</v>
          </cell>
          <cell r="BM120">
            <v>-1059129.3500000001</v>
          </cell>
          <cell r="BN120">
            <v>-1322565.29</v>
          </cell>
          <cell r="BO120">
            <v>-1405078.75</v>
          </cell>
          <cell r="BP120">
            <v>-1455993.49</v>
          </cell>
          <cell r="BQ120">
            <v>-1349730.52</v>
          </cell>
          <cell r="BR120">
            <v>-1181847.51</v>
          </cell>
          <cell r="BS120">
            <v>-1140673.3500000001</v>
          </cell>
          <cell r="BT120">
            <v>-1153446.3400000001</v>
          </cell>
          <cell r="BU120">
            <v>-1259815.1499999999</v>
          </cell>
          <cell r="BV120">
            <v>-1207129.02</v>
          </cell>
          <cell r="BW120">
            <v>-974343.22</v>
          </cell>
          <cell r="BX120">
            <v>-1253806.6599999999</v>
          </cell>
          <cell r="BY120">
            <v>-1149832.68</v>
          </cell>
          <cell r="BZ120">
            <v>-1488391.12</v>
          </cell>
          <cell r="CA120">
            <v>-1465415.3</v>
          </cell>
          <cell r="CB120">
            <v>-1537838.83</v>
          </cell>
          <cell r="CC120">
            <v>-1400969.26</v>
          </cell>
          <cell r="CD120">
            <v>-1287614.18</v>
          </cell>
          <cell r="CE120">
            <v>-1321797.8999999999</v>
          </cell>
          <cell r="CF120">
            <v>-1376810.97</v>
          </cell>
          <cell r="CG120">
            <v>-1387730.97</v>
          </cell>
          <cell r="CH120">
            <v>-1270542.3600000001</v>
          </cell>
          <cell r="CI120">
            <v>-1186111.57</v>
          </cell>
          <cell r="CJ120">
            <v>-1356081.42</v>
          </cell>
          <cell r="CK120">
            <v>-1199098.6399999999</v>
          </cell>
          <cell r="CL120">
            <v>-1364601.87</v>
          </cell>
          <cell r="CM120">
            <v>-1123822.6299999999</v>
          </cell>
          <cell r="CN120">
            <v>-1704139.42</v>
          </cell>
          <cell r="CO120">
            <v>-1305661.18</v>
          </cell>
          <cell r="CP120">
            <v>-1310658.44</v>
          </cell>
          <cell r="CQ120">
            <v>-1230416.29</v>
          </cell>
          <cell r="CR120">
            <v>-1237458.95</v>
          </cell>
          <cell r="CS120">
            <v>-1312413.04</v>
          </cell>
          <cell r="CT120">
            <v>-1394456.87</v>
          </cell>
          <cell r="CU120">
            <v>-1217184.3899999999</v>
          </cell>
          <cell r="CV120">
            <v>-1407574.84</v>
          </cell>
          <cell r="CW120">
            <v>-1323278.2</v>
          </cell>
          <cell r="CX120">
            <v>-1351601.95</v>
          </cell>
          <cell r="CY120">
            <v>-1956358.28</v>
          </cell>
          <cell r="CZ120">
            <v>-1991052.4</v>
          </cell>
          <cell r="DA120">
            <v>-1573794.39</v>
          </cell>
          <cell r="DB120">
            <v>-1455889.24</v>
          </cell>
          <cell r="DC120">
            <v>-1418943.33</v>
          </cell>
          <cell r="DD120">
            <v>-1442318.89</v>
          </cell>
          <cell r="DE120">
            <v>-1987990.95</v>
          </cell>
          <cell r="DF120">
            <v>-2001245.65</v>
          </cell>
          <cell r="DG120">
            <v>-1853630.74</v>
          </cell>
          <cell r="DH120">
            <v>-19763678.859999999</v>
          </cell>
        </row>
        <row r="121">
          <cell r="A121" t="str">
            <v>4930000</v>
          </cell>
          <cell r="B121" t="str">
            <v>4930000</v>
          </cell>
          <cell r="C121" t="str">
            <v>Rent Revenue</v>
          </cell>
          <cell r="D121">
            <v>-5300</v>
          </cell>
          <cell r="E121">
            <v>-4300</v>
          </cell>
          <cell r="F121">
            <v>-2300</v>
          </cell>
          <cell r="G121">
            <v>-76987.39</v>
          </cell>
          <cell r="H121">
            <v>-2300</v>
          </cell>
          <cell r="I121">
            <v>-2300</v>
          </cell>
          <cell r="J121">
            <v>-5300</v>
          </cell>
          <cell r="K121">
            <v>-2300</v>
          </cell>
          <cell r="L121">
            <v>-2300</v>
          </cell>
          <cell r="M121">
            <v>-2300</v>
          </cell>
          <cell r="N121">
            <v>-2300</v>
          </cell>
          <cell r="O121">
            <v>-5300</v>
          </cell>
          <cell r="P121">
            <v>-2583.83</v>
          </cell>
          <cell r="Q121">
            <v>-4405</v>
          </cell>
          <cell r="R121">
            <v>-2400</v>
          </cell>
          <cell r="S121">
            <v>-2300</v>
          </cell>
          <cell r="T121">
            <v>-76182.539999999994</v>
          </cell>
          <cell r="U121">
            <v>-5400</v>
          </cell>
          <cell r="V121">
            <v>-2400</v>
          </cell>
          <cell r="W121">
            <v>-2243.1999999999998</v>
          </cell>
          <cell r="X121">
            <v>-2243.1999999999998</v>
          </cell>
          <cell r="Y121">
            <v>-2243.1999999999998</v>
          </cell>
          <cell r="Z121">
            <v>-2243.1999999999998</v>
          </cell>
          <cell r="AA121">
            <v>-2243.1999999999998</v>
          </cell>
          <cell r="AB121">
            <v>-5047.0600000000004</v>
          </cell>
          <cell r="AC121">
            <v>-2243.1999999999998</v>
          </cell>
          <cell r="AD121">
            <v>-2243.1999999999998</v>
          </cell>
          <cell r="AE121">
            <v>-10582.84</v>
          </cell>
          <cell r="AF121">
            <v>-86285.86</v>
          </cell>
          <cell r="AG121">
            <v>-2243.1999999999998</v>
          </cell>
          <cell r="AH121">
            <v>-11981.55</v>
          </cell>
          <cell r="AI121">
            <v>-9177.82</v>
          </cell>
          <cell r="AJ121">
            <v>-9177.82</v>
          </cell>
          <cell r="AK121">
            <v>-9177.82</v>
          </cell>
          <cell r="AL121">
            <v>-11981.56</v>
          </cell>
          <cell r="AM121">
            <v>-9177.83</v>
          </cell>
          <cell r="AN121">
            <v>-10377.83</v>
          </cell>
          <cell r="AO121">
            <v>-11177.83</v>
          </cell>
          <cell r="AP121">
            <v>-13149.08</v>
          </cell>
          <cell r="AQ121">
            <v>-9177.83</v>
          </cell>
          <cell r="AR121">
            <v>-93048.11</v>
          </cell>
          <cell r="AS121">
            <v>-9177.83</v>
          </cell>
          <cell r="AT121">
            <v>-4953.26</v>
          </cell>
          <cell r="AU121">
            <v>-2149.5300000000002</v>
          </cell>
          <cell r="AV121">
            <v>-2149.5300000000002</v>
          </cell>
          <cell r="AW121">
            <v>-2149.5300000000002</v>
          </cell>
          <cell r="AX121">
            <v>-4953.26</v>
          </cell>
          <cell r="AY121">
            <v>-2149.5300000000002</v>
          </cell>
          <cell r="AZ121">
            <v>-2149.5300000000002</v>
          </cell>
          <cell r="BA121">
            <v>-2149.5300000000002</v>
          </cell>
          <cell r="BB121">
            <v>-2507.31</v>
          </cell>
          <cell r="BC121">
            <v>-2149.5300000000002</v>
          </cell>
          <cell r="BD121">
            <v>-85655.03</v>
          </cell>
          <cell r="BE121">
            <v>-4953.26</v>
          </cell>
          <cell r="BF121">
            <v>-2149.5300000000002</v>
          </cell>
          <cell r="BG121">
            <v>-2149.5300000000002</v>
          </cell>
          <cell r="BH121">
            <v>-2149.5300000000002</v>
          </cell>
          <cell r="BI121">
            <v>-2149.5300000000002</v>
          </cell>
          <cell r="BJ121">
            <v>-2149.5300000000002</v>
          </cell>
          <cell r="BK121">
            <v>-2149.5300000000002</v>
          </cell>
          <cell r="BL121">
            <v>-4953.26</v>
          </cell>
          <cell r="BM121">
            <v>-2000</v>
          </cell>
          <cell r="BN121">
            <v>-205.79</v>
          </cell>
          <cell r="BO121">
            <v>0</v>
          </cell>
          <cell r="BP121">
            <v>0</v>
          </cell>
          <cell r="BQ121">
            <v>-102062.03</v>
          </cell>
          <cell r="BR121">
            <v>0</v>
          </cell>
          <cell r="BS121">
            <v>-3951.46</v>
          </cell>
          <cell r="BT121">
            <v>0</v>
          </cell>
          <cell r="BU121">
            <v>0</v>
          </cell>
          <cell r="BV121">
            <v>0</v>
          </cell>
          <cell r="BW121">
            <v>0</v>
          </cell>
          <cell r="BX121">
            <v>-2803.73</v>
          </cell>
          <cell r="BY121">
            <v>-2000</v>
          </cell>
          <cell r="BZ121">
            <v>0</v>
          </cell>
          <cell r="CA121">
            <v>0</v>
          </cell>
          <cell r="CB121">
            <v>-106541.55</v>
          </cell>
          <cell r="CC121">
            <v>0</v>
          </cell>
          <cell r="CD121">
            <v>-2803.73</v>
          </cell>
          <cell r="CE121">
            <v>0</v>
          </cell>
          <cell r="CF121">
            <v>0</v>
          </cell>
          <cell r="CG121">
            <v>0</v>
          </cell>
          <cell r="CH121">
            <v>0</v>
          </cell>
          <cell r="CI121">
            <v>0</v>
          </cell>
          <cell r="CJ121">
            <v>-2803.73</v>
          </cell>
          <cell r="CK121">
            <v>-2000</v>
          </cell>
          <cell r="CL121">
            <v>0</v>
          </cell>
          <cell r="CM121">
            <v>0</v>
          </cell>
          <cell r="CN121">
            <v>-108531.81</v>
          </cell>
          <cell r="CO121">
            <v>0</v>
          </cell>
          <cell r="CP121">
            <v>-2803.74</v>
          </cell>
          <cell r="CQ121">
            <v>0</v>
          </cell>
          <cell r="CR121">
            <v>0</v>
          </cell>
          <cell r="CS121">
            <v>0</v>
          </cell>
          <cell r="CT121">
            <v>0</v>
          </cell>
          <cell r="CU121">
            <v>0</v>
          </cell>
          <cell r="CV121">
            <v>-2803.74</v>
          </cell>
          <cell r="CW121">
            <v>-2000</v>
          </cell>
          <cell r="CX121">
            <v>0</v>
          </cell>
          <cell r="CY121">
            <v>0</v>
          </cell>
          <cell r="CZ121">
            <v>-117796</v>
          </cell>
          <cell r="DA121">
            <v>0</v>
          </cell>
          <cell r="DB121">
            <v>-2803.74</v>
          </cell>
          <cell r="DC121">
            <v>0</v>
          </cell>
          <cell r="DD121">
            <v>0</v>
          </cell>
          <cell r="DE121">
            <v>0</v>
          </cell>
          <cell r="DF121">
            <v>0</v>
          </cell>
          <cell r="DG121">
            <v>0</v>
          </cell>
          <cell r="DH121">
            <v>-125403.48000000001</v>
          </cell>
        </row>
        <row r="122">
          <cell r="A122" t="str">
            <v>4930700</v>
          </cell>
          <cell r="B122" t="str">
            <v>4930700</v>
          </cell>
          <cell r="C122" t="str">
            <v>IC Rent Revenue</v>
          </cell>
          <cell r="D122">
            <v>-23554.44</v>
          </cell>
          <cell r="E122">
            <v>-23554.44</v>
          </cell>
          <cell r="F122">
            <v>-23554.44</v>
          </cell>
          <cell r="G122">
            <v>-23554.44</v>
          </cell>
          <cell r="H122">
            <v>-23554.44</v>
          </cell>
          <cell r="I122">
            <v>-23554.44</v>
          </cell>
          <cell r="J122">
            <v>-23554.44</v>
          </cell>
          <cell r="K122">
            <v>-23554.44</v>
          </cell>
          <cell r="L122">
            <v>-23554.44</v>
          </cell>
          <cell r="M122">
            <v>-23554.44</v>
          </cell>
          <cell r="N122">
            <v>-23554.44</v>
          </cell>
          <cell r="O122">
            <v>-23554.44</v>
          </cell>
          <cell r="P122">
            <v>-23554.44</v>
          </cell>
          <cell r="Q122">
            <v>-23554.44</v>
          </cell>
          <cell r="R122">
            <v>-23554.44</v>
          </cell>
          <cell r="S122">
            <v>-23554.44</v>
          </cell>
          <cell r="T122">
            <v>-23554.44</v>
          </cell>
          <cell r="U122">
            <v>-23554.44</v>
          </cell>
          <cell r="V122">
            <v>-23554.44</v>
          </cell>
          <cell r="W122">
            <v>-23554.44</v>
          </cell>
          <cell r="X122">
            <v>-17541</v>
          </cell>
          <cell r="Y122">
            <v>-17541</v>
          </cell>
          <cell r="Z122">
            <v>-17541</v>
          </cell>
          <cell r="AA122">
            <v>-17541</v>
          </cell>
          <cell r="AB122">
            <v>-17541</v>
          </cell>
          <cell r="AC122">
            <v>-17541</v>
          </cell>
          <cell r="AD122">
            <v>-17541</v>
          </cell>
          <cell r="AE122">
            <v>-17541</v>
          </cell>
          <cell r="AF122">
            <v>-17541</v>
          </cell>
          <cell r="AG122">
            <v>-17541</v>
          </cell>
          <cell r="AH122">
            <v>-17541</v>
          </cell>
          <cell r="AI122">
            <v>-17541</v>
          </cell>
          <cell r="AJ122">
            <v>-17541</v>
          </cell>
          <cell r="AK122">
            <v>-17541</v>
          </cell>
          <cell r="AL122">
            <v>-17541</v>
          </cell>
          <cell r="AM122">
            <v>-17541</v>
          </cell>
          <cell r="AN122">
            <v>-17541</v>
          </cell>
          <cell r="AO122">
            <v>-17541</v>
          </cell>
          <cell r="AP122">
            <v>-17541</v>
          </cell>
          <cell r="AQ122">
            <v>-17541</v>
          </cell>
          <cell r="AR122">
            <v>-17541</v>
          </cell>
          <cell r="AS122">
            <v>-17541</v>
          </cell>
          <cell r="AT122">
            <v>-17541</v>
          </cell>
          <cell r="AU122">
            <v>-17541</v>
          </cell>
          <cell r="AV122">
            <v>-17541</v>
          </cell>
          <cell r="AW122">
            <v>-17541</v>
          </cell>
          <cell r="AX122">
            <v>-17541</v>
          </cell>
          <cell r="AY122">
            <v>-17541</v>
          </cell>
          <cell r="AZ122">
            <v>-17541</v>
          </cell>
          <cell r="BA122">
            <v>-17541</v>
          </cell>
          <cell r="BB122">
            <v>-17541</v>
          </cell>
          <cell r="BC122">
            <v>-17541</v>
          </cell>
          <cell r="BD122">
            <v>-17541</v>
          </cell>
          <cell r="BE122">
            <v>-17541</v>
          </cell>
          <cell r="BF122">
            <v>-17541</v>
          </cell>
          <cell r="BG122">
            <v>-17541</v>
          </cell>
          <cell r="BH122">
            <v>-17541</v>
          </cell>
          <cell r="BI122">
            <v>-17541</v>
          </cell>
          <cell r="BJ122">
            <v>-17541</v>
          </cell>
          <cell r="BK122">
            <v>-17541</v>
          </cell>
          <cell r="BL122">
            <v>-7684</v>
          </cell>
          <cell r="BM122">
            <v>-7684</v>
          </cell>
          <cell r="BN122">
            <v>-7684</v>
          </cell>
          <cell r="BO122">
            <v>-7684</v>
          </cell>
          <cell r="BP122">
            <v>-7684</v>
          </cell>
          <cell r="BQ122">
            <v>-7684</v>
          </cell>
          <cell r="BR122">
            <v>-7684</v>
          </cell>
          <cell r="BS122">
            <v>-7684</v>
          </cell>
          <cell r="BT122">
            <v>-7684</v>
          </cell>
          <cell r="BU122">
            <v>-7684</v>
          </cell>
          <cell r="BV122">
            <v>-7684</v>
          </cell>
          <cell r="BW122">
            <v>-7684</v>
          </cell>
          <cell r="BX122">
            <v>-7684</v>
          </cell>
          <cell r="BY122">
            <v>-7684</v>
          </cell>
          <cell r="BZ122">
            <v>-7684</v>
          </cell>
          <cell r="CA122">
            <v>-7684</v>
          </cell>
          <cell r="CB122">
            <v>-7684</v>
          </cell>
          <cell r="CC122">
            <v>-7684</v>
          </cell>
          <cell r="CD122">
            <v>-7684</v>
          </cell>
          <cell r="CE122">
            <v>-7684</v>
          </cell>
          <cell r="CF122">
            <v>-7684</v>
          </cell>
          <cell r="CG122">
            <v>-7684</v>
          </cell>
          <cell r="CH122">
            <v>-7684</v>
          </cell>
          <cell r="CI122">
            <v>-7684</v>
          </cell>
          <cell r="CJ122">
            <v>-7684</v>
          </cell>
          <cell r="CK122">
            <v>-7684</v>
          </cell>
          <cell r="CL122">
            <v>-7684</v>
          </cell>
          <cell r="CM122">
            <v>-7684</v>
          </cell>
          <cell r="CN122">
            <v>-7684</v>
          </cell>
          <cell r="CO122">
            <v>-7684</v>
          </cell>
          <cell r="CP122">
            <v>-7684</v>
          </cell>
          <cell r="CQ122">
            <v>-7684</v>
          </cell>
          <cell r="CR122">
            <v>-7684</v>
          </cell>
          <cell r="CS122">
            <v>-7684</v>
          </cell>
          <cell r="CT122">
            <v>-7684</v>
          </cell>
          <cell r="CU122">
            <v>-7684</v>
          </cell>
          <cell r="CV122">
            <v>-7684</v>
          </cell>
          <cell r="CW122">
            <v>-7684</v>
          </cell>
          <cell r="CX122">
            <v>-7684</v>
          </cell>
          <cell r="CY122">
            <v>-7684</v>
          </cell>
          <cell r="CZ122">
            <v>-7684</v>
          </cell>
          <cell r="DA122">
            <v>-7684</v>
          </cell>
          <cell r="DB122">
            <v>-7684</v>
          </cell>
          <cell r="DC122">
            <v>-7684</v>
          </cell>
          <cell r="DD122">
            <v>-7684</v>
          </cell>
          <cell r="DE122">
            <v>-7684</v>
          </cell>
          <cell r="DF122">
            <v>-7684</v>
          </cell>
          <cell r="DG122">
            <v>-7684</v>
          </cell>
          <cell r="DH122">
            <v>-92208</v>
          </cell>
        </row>
        <row r="123">
          <cell r="A123" t="str">
            <v>4950203</v>
          </cell>
          <cell r="B123" t="str">
            <v>4950203</v>
          </cell>
          <cell r="C123" t="str">
            <v>OthRev-EnergyConserv</v>
          </cell>
          <cell r="D123">
            <v>-1549250.45</v>
          </cell>
          <cell r="E123">
            <v>-1623259.76</v>
          </cell>
          <cell r="F123">
            <v>-1335215.47</v>
          </cell>
          <cell r="G123">
            <v>-1188737.49</v>
          </cell>
          <cell r="H123">
            <v>-976794.97</v>
          </cell>
          <cell r="I123">
            <v>-932785.45</v>
          </cell>
          <cell r="J123">
            <v>-847463.24</v>
          </cell>
          <cell r="K123">
            <v>-775059.97</v>
          </cell>
          <cell r="L123">
            <v>-831360.03</v>
          </cell>
          <cell r="M123">
            <v>-869635.27</v>
          </cell>
          <cell r="N123">
            <v>-995788.41</v>
          </cell>
          <cell r="O123">
            <v>-1315195.6399999999</v>
          </cell>
          <cell r="P123">
            <v>-1664229.92</v>
          </cell>
          <cell r="Q123">
            <v>-1725776.62</v>
          </cell>
          <cell r="R123">
            <v>-1673290.71</v>
          </cell>
          <cell r="S123">
            <v>-1229117.07</v>
          </cell>
          <cell r="T123">
            <v>-975666.7</v>
          </cell>
          <cell r="U123">
            <v>-1002205.77</v>
          </cell>
          <cell r="V123">
            <v>-912708.83</v>
          </cell>
          <cell r="W123">
            <v>-928091.8</v>
          </cell>
          <cell r="X123">
            <v>-891243.46</v>
          </cell>
          <cell r="Y123">
            <v>-927213.1</v>
          </cell>
          <cell r="Z123">
            <v>-1021815.52</v>
          </cell>
          <cell r="AA123">
            <v>-1208624.43</v>
          </cell>
          <cell r="AB123">
            <v>-1198343.2</v>
          </cell>
          <cell r="AC123">
            <v>-1351333.36</v>
          </cell>
          <cell r="AD123">
            <v>-1165896.1399999999</v>
          </cell>
          <cell r="AE123">
            <v>-994559.98</v>
          </cell>
          <cell r="AF123">
            <v>-867720.71</v>
          </cell>
          <cell r="AG123">
            <v>-775616.31</v>
          </cell>
          <cell r="AH123">
            <v>-723092.11</v>
          </cell>
          <cell r="AI123">
            <v>-667736.4</v>
          </cell>
          <cell r="AJ123">
            <v>-709221.41</v>
          </cell>
          <cell r="AK123">
            <v>-711384.4</v>
          </cell>
          <cell r="AL123">
            <v>-835820.76</v>
          </cell>
          <cell r="AM123">
            <v>-1011650.27</v>
          </cell>
          <cell r="AN123">
            <v>-1348015.55</v>
          </cell>
          <cell r="AO123">
            <v>-1266415.22</v>
          </cell>
          <cell r="AP123">
            <v>-1184675.03</v>
          </cell>
          <cell r="AQ123">
            <v>-1151187.1599999999</v>
          </cell>
          <cell r="AR123">
            <v>-1006057.14</v>
          </cell>
          <cell r="AS123">
            <v>-877961.3</v>
          </cell>
          <cell r="AT123">
            <v>-808505.35</v>
          </cell>
          <cell r="AU123">
            <v>-781210.08</v>
          </cell>
          <cell r="AV123">
            <v>-870712.38</v>
          </cell>
          <cell r="AW123">
            <v>-784132.92</v>
          </cell>
          <cell r="AX123">
            <v>-963086.35</v>
          </cell>
          <cell r="AY123">
            <v>-1194601.32</v>
          </cell>
          <cell r="AZ123">
            <v>-2221479.5499999998</v>
          </cell>
          <cell r="BA123">
            <v>-1945466.55</v>
          </cell>
          <cell r="BB123">
            <v>-1555578.29</v>
          </cell>
          <cell r="BC123">
            <v>-1615273.59</v>
          </cell>
          <cell r="BD123">
            <v>-1279309.1399999999</v>
          </cell>
          <cell r="BE123">
            <v>-1206047.2</v>
          </cell>
          <cell r="BF123">
            <v>-1074509.8500000001</v>
          </cell>
          <cell r="BG123">
            <v>-1025720.95</v>
          </cell>
          <cell r="BH123">
            <v>-1124485.47</v>
          </cell>
          <cell r="BI123">
            <v>-1038104.84</v>
          </cell>
          <cell r="BJ123">
            <v>-1156692.9099999999</v>
          </cell>
          <cell r="BK123">
            <v>-1592775.22</v>
          </cell>
          <cell r="BL123">
            <v>-2089639.75</v>
          </cell>
          <cell r="BM123">
            <v>-2114741.98</v>
          </cell>
          <cell r="BN123">
            <v>-1727079.1</v>
          </cell>
          <cell r="BO123">
            <v>-1612990.88</v>
          </cell>
          <cell r="BP123">
            <v>-1426900.47</v>
          </cell>
          <cell r="BQ123">
            <v>-1214039.6299999999</v>
          </cell>
          <cell r="BR123">
            <v>-1145227.18</v>
          </cell>
          <cell r="BS123">
            <v>-1126014.02</v>
          </cell>
          <cell r="BT123">
            <v>-1157081</v>
          </cell>
          <cell r="BU123">
            <v>-1157449.17</v>
          </cell>
          <cell r="BV123">
            <v>-1310429.8799999999</v>
          </cell>
          <cell r="BW123">
            <v>-1821342.98</v>
          </cell>
          <cell r="BX123">
            <v>-2104825.4500000002</v>
          </cell>
          <cell r="BY123">
            <v>-2074223.39</v>
          </cell>
          <cell r="BZ123">
            <v>-1925868.4</v>
          </cell>
          <cell r="CA123">
            <v>-1475823.06</v>
          </cell>
          <cell r="CB123">
            <v>-1319818.31</v>
          </cell>
          <cell r="CC123">
            <v>-1290794.52</v>
          </cell>
          <cell r="CD123">
            <v>-1160864.19</v>
          </cell>
          <cell r="CE123">
            <v>-1139760.6399999999</v>
          </cell>
          <cell r="CF123">
            <v>-1129050.83</v>
          </cell>
          <cell r="CG123">
            <v>-1206659.72</v>
          </cell>
          <cell r="CH123">
            <v>-1403783.48</v>
          </cell>
          <cell r="CI123">
            <v>-1842772.29</v>
          </cell>
          <cell r="CJ123">
            <v>-2271144.79</v>
          </cell>
          <cell r="CK123">
            <v>-2037720.8</v>
          </cell>
          <cell r="CL123">
            <v>-1735252.44</v>
          </cell>
          <cell r="CM123">
            <v>-1728972.43</v>
          </cell>
          <cell r="CN123">
            <v>-1389625.1</v>
          </cell>
          <cell r="CO123">
            <v>-1277426.24</v>
          </cell>
          <cell r="CP123">
            <v>-1220044.76</v>
          </cell>
          <cell r="CQ123">
            <v>-1116595.76</v>
          </cell>
          <cell r="CR123">
            <v>-1182011.53</v>
          </cell>
          <cell r="CS123">
            <v>-1158411.58</v>
          </cell>
          <cell r="CT123">
            <v>-1356875</v>
          </cell>
          <cell r="CU123">
            <v>-1807593.46</v>
          </cell>
          <cell r="CV123">
            <v>-2748932.99</v>
          </cell>
          <cell r="CW123">
            <v>-3060083.48</v>
          </cell>
          <cell r="CX123">
            <v>-2532865.42</v>
          </cell>
          <cell r="CY123">
            <v>-2248845.23</v>
          </cell>
          <cell r="CZ123">
            <v>-2029055.71</v>
          </cell>
          <cell r="DA123">
            <v>-1735395.72</v>
          </cell>
          <cell r="DB123">
            <v>-1562281.34</v>
          </cell>
          <cell r="DC123">
            <v>-1508194.91</v>
          </cell>
          <cell r="DD123">
            <v>-1565727.69</v>
          </cell>
          <cell r="DE123">
            <v>-1770138.56</v>
          </cell>
          <cell r="DF123">
            <v>-1881459.29</v>
          </cell>
          <cell r="DG123">
            <v>-2292092.62</v>
          </cell>
          <cell r="DH123">
            <v>-24935072.960000001</v>
          </cell>
        </row>
        <row r="124">
          <cell r="A124" t="str">
            <v>4950205</v>
          </cell>
          <cell r="B124" t="str">
            <v>4950205</v>
          </cell>
          <cell r="C124" t="str">
            <v>OthRev-Franchise Fee</v>
          </cell>
          <cell r="D124">
            <v>-962488.02</v>
          </cell>
          <cell r="E124">
            <v>-970766.68</v>
          </cell>
          <cell r="F124">
            <v>-818115.57</v>
          </cell>
          <cell r="G124">
            <v>-765780.78</v>
          </cell>
          <cell r="H124">
            <v>-634682.4</v>
          </cell>
          <cell r="I124">
            <v>-659680.96</v>
          </cell>
          <cell r="J124">
            <v>-611352.59</v>
          </cell>
          <cell r="K124">
            <v>-579391.89</v>
          </cell>
          <cell r="L124">
            <v>-612396.09</v>
          </cell>
          <cell r="M124">
            <v>-613588.09</v>
          </cell>
          <cell r="N124">
            <v>-654532.75</v>
          </cell>
          <cell r="O124">
            <v>-821418.82</v>
          </cell>
          <cell r="P124">
            <v>-921564.01</v>
          </cell>
          <cell r="Q124">
            <v>-930701.6</v>
          </cell>
          <cell r="R124">
            <v>-876713.12</v>
          </cell>
          <cell r="S124">
            <v>-716711.79</v>
          </cell>
          <cell r="T124">
            <v>-628787.68999999994</v>
          </cell>
          <cell r="U124">
            <v>-659683.54</v>
          </cell>
          <cell r="V124">
            <v>-731931.03</v>
          </cell>
          <cell r="W124">
            <v>-555618.9</v>
          </cell>
          <cell r="X124">
            <v>-659420.37</v>
          </cell>
          <cell r="Y124">
            <v>-663224.89</v>
          </cell>
          <cell r="Z124">
            <v>-711130.29</v>
          </cell>
          <cell r="AA124">
            <v>-786432.01</v>
          </cell>
          <cell r="AB124">
            <v>-944707.49</v>
          </cell>
          <cell r="AC124">
            <v>-1061673.83</v>
          </cell>
          <cell r="AD124">
            <v>-932956.59</v>
          </cell>
          <cell r="AE124">
            <v>-853197.85</v>
          </cell>
          <cell r="AF124">
            <v>-771462.93</v>
          </cell>
          <cell r="AG124">
            <v>-715451.39</v>
          </cell>
          <cell r="AH124">
            <v>-671022.66</v>
          </cell>
          <cell r="AI124">
            <v>-666345.05000000005</v>
          </cell>
          <cell r="AJ124">
            <v>-666261.43999999994</v>
          </cell>
          <cell r="AK124">
            <v>-662989.31999999995</v>
          </cell>
          <cell r="AL124">
            <v>-721183.81</v>
          </cell>
          <cell r="AM124">
            <v>-827905.41</v>
          </cell>
          <cell r="AN124">
            <v>-912988.68</v>
          </cell>
          <cell r="AO124">
            <v>-878265.25</v>
          </cell>
          <cell r="AP124">
            <v>-848096.58</v>
          </cell>
          <cell r="AQ124">
            <v>-830109.35</v>
          </cell>
          <cell r="AR124">
            <v>-750287.94</v>
          </cell>
          <cell r="AS124">
            <v>-711474.39</v>
          </cell>
          <cell r="AT124">
            <v>-667979.71</v>
          </cell>
          <cell r="AU124">
            <v>-675093.16</v>
          </cell>
          <cell r="AV124">
            <v>-699827.49</v>
          </cell>
          <cell r="AW124">
            <v>-730169.45</v>
          </cell>
          <cell r="AX124">
            <v>-791687.72</v>
          </cell>
          <cell r="AY124">
            <v>-901652.99</v>
          </cell>
          <cell r="AZ124">
            <v>-1210510.42</v>
          </cell>
          <cell r="BA124">
            <v>-1081911.23</v>
          </cell>
          <cell r="BB124">
            <v>-950880.62</v>
          </cell>
          <cell r="BC124">
            <v>-946344.62</v>
          </cell>
          <cell r="BD124">
            <v>-859547.34</v>
          </cell>
          <cell r="BE124">
            <v>-820483.76</v>
          </cell>
          <cell r="BF124">
            <v>-755180.56</v>
          </cell>
          <cell r="BG124">
            <v>-735693.34</v>
          </cell>
          <cell r="BH124">
            <v>-780565.78</v>
          </cell>
          <cell r="BI124">
            <v>-724571.55</v>
          </cell>
          <cell r="BJ124">
            <v>-778025.56</v>
          </cell>
          <cell r="BK124">
            <v>-949940.66</v>
          </cell>
          <cell r="BL124">
            <v>-1077455.75</v>
          </cell>
          <cell r="BM124">
            <v>-1049655.22</v>
          </cell>
          <cell r="BN124">
            <v>-976425.94</v>
          </cell>
          <cell r="BO124">
            <v>-944434.86</v>
          </cell>
          <cell r="BP124">
            <v>-814908.7</v>
          </cell>
          <cell r="BQ124">
            <v>-782183.36</v>
          </cell>
          <cell r="BR124">
            <v>-760420.2</v>
          </cell>
          <cell r="BS124">
            <v>-726605.6</v>
          </cell>
          <cell r="BT124">
            <v>-766395.44</v>
          </cell>
          <cell r="BU124">
            <v>-746665.18</v>
          </cell>
          <cell r="BV124">
            <v>-829620.68</v>
          </cell>
          <cell r="BW124">
            <v>-1001016.06</v>
          </cell>
          <cell r="BX124">
            <v>-1107892.52</v>
          </cell>
          <cell r="BY124">
            <v>-1064792.08</v>
          </cell>
          <cell r="BZ124">
            <v>-1000768.77</v>
          </cell>
          <cell r="CA124">
            <v>-861987.17</v>
          </cell>
          <cell r="CB124">
            <v>-761201.88</v>
          </cell>
          <cell r="CC124">
            <v>-707180.78</v>
          </cell>
          <cell r="CD124">
            <v>-739814.08</v>
          </cell>
          <cell r="CE124">
            <v>-732428.55</v>
          </cell>
          <cell r="CF124">
            <v>-719516.08</v>
          </cell>
          <cell r="CG124">
            <v>-759171.86</v>
          </cell>
          <cell r="CH124">
            <v>-852819.9</v>
          </cell>
          <cell r="CI124">
            <v>-986412.7</v>
          </cell>
          <cell r="CJ124">
            <v>-1347921.56</v>
          </cell>
          <cell r="CK124">
            <v>-1255574.45</v>
          </cell>
          <cell r="CL124">
            <v>-1176632.71</v>
          </cell>
          <cell r="CM124">
            <v>-1182701.1299999999</v>
          </cell>
          <cell r="CN124">
            <v>-1055107.24</v>
          </cell>
          <cell r="CO124">
            <v>-994597.45</v>
          </cell>
          <cell r="CP124">
            <v>-997341.73</v>
          </cell>
          <cell r="CQ124">
            <v>-928115.15</v>
          </cell>
          <cell r="CR124">
            <v>-980203.27</v>
          </cell>
          <cell r="CS124">
            <v>-931959.41</v>
          </cell>
          <cell r="CT124">
            <v>-1052791.18</v>
          </cell>
          <cell r="CU124">
            <v>-1274558.2</v>
          </cell>
          <cell r="CV124">
            <v>-1448910.88</v>
          </cell>
          <cell r="CW124">
            <v>-1529552.96</v>
          </cell>
          <cell r="CX124">
            <v>-1370392.34</v>
          </cell>
          <cell r="CY124">
            <v>-1259490.8799999999</v>
          </cell>
          <cell r="CZ124">
            <v>-1191620.17</v>
          </cell>
          <cell r="DA124">
            <v>-1091400.44</v>
          </cell>
          <cell r="DB124">
            <v>-1018216.2</v>
          </cell>
          <cell r="DC124">
            <v>-1130553.42</v>
          </cell>
          <cell r="DD124">
            <v>-1166932</v>
          </cell>
          <cell r="DE124">
            <v>-1226121.8</v>
          </cell>
          <cell r="DF124">
            <v>-1127298.28</v>
          </cell>
          <cell r="DG124">
            <v>-1254323.27</v>
          </cell>
          <cell r="DH124">
            <v>-14814812.639999999</v>
          </cell>
        </row>
        <row r="125">
          <cell r="A125" t="str">
            <v>4950206</v>
          </cell>
          <cell r="B125" t="str">
            <v>4950206</v>
          </cell>
          <cell r="C125" t="str">
            <v>OthRev-Gross Receipt</v>
          </cell>
          <cell r="D125">
            <v>-1465731.05</v>
          </cell>
          <cell r="E125">
            <v>-1421595.38</v>
          </cell>
          <cell r="F125">
            <v>-1286642.43</v>
          </cell>
          <cell r="G125">
            <v>-1142563.07</v>
          </cell>
          <cell r="H125">
            <v>-973728.84</v>
          </cell>
          <cell r="I125">
            <v>-877486.41</v>
          </cell>
          <cell r="J125">
            <v>-810814.72</v>
          </cell>
          <cell r="K125">
            <v>-823589.01</v>
          </cell>
          <cell r="L125">
            <v>-877702.84</v>
          </cell>
          <cell r="M125">
            <v>-906182.37</v>
          </cell>
          <cell r="N125">
            <v>-1020693.12</v>
          </cell>
          <cell r="O125">
            <v>-1299279.1100000001</v>
          </cell>
          <cell r="P125">
            <v>-1442235.87</v>
          </cell>
          <cell r="Q125">
            <v>-1486286.69</v>
          </cell>
          <cell r="R125">
            <v>-1457304.46</v>
          </cell>
          <cell r="S125">
            <v>-1148076.8</v>
          </cell>
          <cell r="T125">
            <v>-937863.33</v>
          </cell>
          <cell r="U125">
            <v>-958209.06</v>
          </cell>
          <cell r="V125">
            <v>-1195531.6200000001</v>
          </cell>
          <cell r="W125">
            <v>-686270.15</v>
          </cell>
          <cell r="X125">
            <v>-909597.35</v>
          </cell>
          <cell r="Y125">
            <v>-950741.2</v>
          </cell>
          <cell r="Z125">
            <v>-1034527.47</v>
          </cell>
          <cell r="AA125">
            <v>-1206266.96</v>
          </cell>
          <cell r="AB125">
            <v>-1498909.7</v>
          </cell>
          <cell r="AC125">
            <v>-1616852.72</v>
          </cell>
          <cell r="AD125">
            <v>-1429511.29</v>
          </cell>
          <cell r="AE125">
            <v>-1127332.1000000001</v>
          </cell>
          <cell r="AF125">
            <v>-1110115.95</v>
          </cell>
          <cell r="AG125">
            <v>-967475.79</v>
          </cell>
          <cell r="AH125">
            <v>-931908.86</v>
          </cell>
          <cell r="AI125">
            <v>-821047.49</v>
          </cell>
          <cell r="AJ125">
            <v>-915385.39</v>
          </cell>
          <cell r="AK125">
            <v>-897013.57</v>
          </cell>
          <cell r="AL125">
            <v>-1056768.1499999999</v>
          </cell>
          <cell r="AM125">
            <v>-1254297.95</v>
          </cell>
          <cell r="AN125">
            <v>-1428833.5</v>
          </cell>
          <cell r="AO125">
            <v>-1331291.83</v>
          </cell>
          <cell r="AP125">
            <v>-1304620.72</v>
          </cell>
          <cell r="AQ125">
            <v>-1256682.8</v>
          </cell>
          <cell r="AR125">
            <v>-1083308.08</v>
          </cell>
          <cell r="AS125">
            <v>-956412.46</v>
          </cell>
          <cell r="AT125">
            <v>-781953.93</v>
          </cell>
          <cell r="AU125">
            <v>-882707.38</v>
          </cell>
          <cell r="AV125">
            <v>-882685.75</v>
          </cell>
          <cell r="AW125">
            <v>-943974.85</v>
          </cell>
          <cell r="AX125">
            <v>-1056539.08</v>
          </cell>
          <cell r="AY125">
            <v>-1285409.1499999999</v>
          </cell>
          <cell r="AZ125">
            <v>-1708204.03</v>
          </cell>
          <cell r="BA125">
            <v>-1517623.77</v>
          </cell>
          <cell r="BB125">
            <v>-1285616.07</v>
          </cell>
          <cell r="BC125">
            <v>-1347277.44</v>
          </cell>
          <cell r="BD125">
            <v>-1083546.55</v>
          </cell>
          <cell r="BE125">
            <v>-1040489.85</v>
          </cell>
          <cell r="BF125">
            <v>-901115.17</v>
          </cell>
          <cell r="BG125">
            <v>-843863.63</v>
          </cell>
          <cell r="BH125">
            <v>-992990.1</v>
          </cell>
          <cell r="BI125">
            <v>-897678.51</v>
          </cell>
          <cell r="BJ125">
            <v>-1016239.82</v>
          </cell>
          <cell r="BK125">
            <v>-1402489.24</v>
          </cell>
          <cell r="BL125">
            <v>-1665864.94</v>
          </cell>
          <cell r="BM125">
            <v>-1640421.41</v>
          </cell>
          <cell r="BN125">
            <v>-1434294.15</v>
          </cell>
          <cell r="BO125">
            <v>-1134539.23</v>
          </cell>
          <cell r="BP125">
            <v>-1185315.3999999999</v>
          </cell>
          <cell r="BQ125">
            <v>-1023382.27</v>
          </cell>
          <cell r="BR125">
            <v>-990882.96</v>
          </cell>
          <cell r="BS125">
            <v>-938493.94</v>
          </cell>
          <cell r="BT125">
            <v>-959936.59</v>
          </cell>
          <cell r="BU125">
            <v>-942398.3</v>
          </cell>
          <cell r="BV125">
            <v>-1118971.45</v>
          </cell>
          <cell r="BW125">
            <v>-1513136.83</v>
          </cell>
          <cell r="BX125">
            <v>-1628543.84</v>
          </cell>
          <cell r="BY125">
            <v>-1581269.81</v>
          </cell>
          <cell r="BZ125">
            <v>-1360686.35</v>
          </cell>
          <cell r="CA125">
            <v>-1067229.21</v>
          </cell>
          <cell r="CB125">
            <v>-959002.58</v>
          </cell>
          <cell r="CC125">
            <v>-972001.62</v>
          </cell>
          <cell r="CD125">
            <v>-857883.31</v>
          </cell>
          <cell r="CE125">
            <v>-916574.94</v>
          </cell>
          <cell r="CF125">
            <v>-877380.33</v>
          </cell>
          <cell r="CG125">
            <v>-967926.02</v>
          </cell>
          <cell r="CH125">
            <v>-1102359.0900000001</v>
          </cell>
          <cell r="CI125">
            <v>-1409825.73</v>
          </cell>
          <cell r="CJ125">
            <v>-1837558.54</v>
          </cell>
          <cell r="CK125">
            <v>-1657676.57</v>
          </cell>
          <cell r="CL125">
            <v>-1456490.32</v>
          </cell>
          <cell r="CM125">
            <v>-1436211.98</v>
          </cell>
          <cell r="CN125">
            <v>-1208611.94</v>
          </cell>
          <cell r="CO125">
            <v>-1116474.1299999999</v>
          </cell>
          <cell r="CP125">
            <v>-1142086.17</v>
          </cell>
          <cell r="CQ125">
            <v>-1017929.49</v>
          </cell>
          <cell r="CR125">
            <v>-1078486.3799999999</v>
          </cell>
          <cell r="CS125">
            <v>-1080685.17</v>
          </cell>
          <cell r="CT125">
            <v>-1242017.5900000001</v>
          </cell>
          <cell r="CU125">
            <v>-1619789.26</v>
          </cell>
          <cell r="CV125">
            <v>-1747412.92</v>
          </cell>
          <cell r="CW125">
            <v>-1892978.9</v>
          </cell>
          <cell r="CX125">
            <v>-1640029.05</v>
          </cell>
          <cell r="CY125">
            <v>-1468301.53</v>
          </cell>
          <cell r="CZ125">
            <v>-1331047.67</v>
          </cell>
          <cell r="DA125">
            <v>-1173483.29</v>
          </cell>
          <cell r="DB125">
            <v>-1072143.94</v>
          </cell>
          <cell r="DC125">
            <v>-1019030.03</v>
          </cell>
          <cell r="DD125">
            <v>-1081406.97</v>
          </cell>
          <cell r="DE125">
            <v>-1184872.05</v>
          </cell>
          <cell r="DF125">
            <v>-1256626.96</v>
          </cell>
          <cell r="DG125">
            <v>-1564803.32</v>
          </cell>
          <cell r="DH125">
            <v>-16432136.629999999</v>
          </cell>
        </row>
        <row r="126">
          <cell r="A126" t="str">
            <v>4950207</v>
          </cell>
          <cell r="B126" t="str">
            <v>4950207</v>
          </cell>
          <cell r="C126" t="str">
            <v>OthRev-Comm SalesTax</v>
          </cell>
          <cell r="D126">
            <v>-787.94</v>
          </cell>
          <cell r="E126">
            <v>-996.97</v>
          </cell>
          <cell r="F126">
            <v>-1039.98</v>
          </cell>
          <cell r="G126">
            <v>-535.63</v>
          </cell>
          <cell r="H126">
            <v>-843</v>
          </cell>
          <cell r="I126">
            <v>-795.34</v>
          </cell>
          <cell r="J126">
            <v>-778.56</v>
          </cell>
          <cell r="K126">
            <v>-776.67</v>
          </cell>
          <cell r="L126">
            <v>-488.78</v>
          </cell>
          <cell r="M126">
            <v>-731.56</v>
          </cell>
          <cell r="N126">
            <v>-764.03</v>
          </cell>
          <cell r="O126">
            <v>-823.47</v>
          </cell>
          <cell r="P126">
            <v>-911.56</v>
          </cell>
          <cell r="Q126">
            <v>-994.84</v>
          </cell>
          <cell r="R126">
            <v>-999.97</v>
          </cell>
          <cell r="S126">
            <v>-1022.3</v>
          </cell>
          <cell r="T126">
            <v>-795.2</v>
          </cell>
          <cell r="U126">
            <v>-774.76</v>
          </cell>
          <cell r="V126">
            <v>-772.26</v>
          </cell>
          <cell r="W126">
            <v>-493.2</v>
          </cell>
          <cell r="X126">
            <v>-760.36</v>
          </cell>
          <cell r="Y126">
            <v>-754.17</v>
          </cell>
          <cell r="Z126">
            <v>-759.62</v>
          </cell>
          <cell r="AA126">
            <v>-782.37</v>
          </cell>
          <cell r="AB126">
            <v>-825.35</v>
          </cell>
          <cell r="AC126">
            <v>-910.22</v>
          </cell>
          <cell r="AD126">
            <v>-1018.26</v>
          </cell>
          <cell r="AE126">
            <v>-936.7</v>
          </cell>
          <cell r="AF126">
            <v>-851.11</v>
          </cell>
          <cell r="AG126">
            <v>-809.47</v>
          </cell>
          <cell r="AH126">
            <v>-759.98</v>
          </cell>
          <cell r="AI126">
            <v>-739.04</v>
          </cell>
          <cell r="AJ126">
            <v>-745.24</v>
          </cell>
          <cell r="AK126">
            <v>-747.45</v>
          </cell>
          <cell r="AL126">
            <v>-753.97</v>
          </cell>
          <cell r="AM126">
            <v>-795.01</v>
          </cell>
          <cell r="AN126">
            <v>-857.75</v>
          </cell>
          <cell r="AO126">
            <v>-947.8</v>
          </cell>
          <cell r="AP126">
            <v>-925.97</v>
          </cell>
          <cell r="AQ126">
            <v>-865.43</v>
          </cell>
          <cell r="AR126">
            <v>-867.62</v>
          </cell>
          <cell r="AS126">
            <v>-839.39</v>
          </cell>
          <cell r="AT126">
            <v>-750.31</v>
          </cell>
          <cell r="AU126">
            <v>-757.75</v>
          </cell>
          <cell r="AV126">
            <v>-747.19</v>
          </cell>
          <cell r="AW126">
            <v>-759.56</v>
          </cell>
          <cell r="AX126">
            <v>-777.9</v>
          </cell>
          <cell r="AY126">
            <v>-820.17</v>
          </cell>
          <cell r="AZ126">
            <v>-902.33</v>
          </cell>
          <cell r="BA126">
            <v>-1154.53</v>
          </cell>
          <cell r="BB126">
            <v>-1086.17</v>
          </cell>
          <cell r="BC126">
            <v>-910.21</v>
          </cell>
          <cell r="BD126">
            <v>-992.76</v>
          </cell>
          <cell r="BE126">
            <v>-859.08</v>
          </cell>
          <cell r="BF126">
            <v>-909.7</v>
          </cell>
          <cell r="BG126">
            <v>-844.06</v>
          </cell>
          <cell r="BH126">
            <v>-772.33</v>
          </cell>
          <cell r="BI126">
            <v>-778.41</v>
          </cell>
          <cell r="BJ126">
            <v>-759.15</v>
          </cell>
          <cell r="BK126">
            <v>-805.51</v>
          </cell>
          <cell r="BL126">
            <v>-957.21</v>
          </cell>
          <cell r="BM126">
            <v>-1072.44</v>
          </cell>
          <cell r="BN126">
            <v>-1081.33</v>
          </cell>
          <cell r="BO126">
            <v>-944.85</v>
          </cell>
          <cell r="BP126">
            <v>-965.72</v>
          </cell>
          <cell r="BQ126">
            <v>-895.24</v>
          </cell>
          <cell r="BR126">
            <v>-806.91</v>
          </cell>
          <cell r="BS126">
            <v>-807.41</v>
          </cell>
          <cell r="BT126">
            <v>-797.53</v>
          </cell>
          <cell r="BU126">
            <v>-806.1</v>
          </cell>
          <cell r="BV126">
            <v>-804.04</v>
          </cell>
          <cell r="BW126">
            <v>-855.28</v>
          </cell>
          <cell r="BX126">
            <v>-1018.31</v>
          </cell>
          <cell r="BY126">
            <v>-1101.8900000000001</v>
          </cell>
          <cell r="BZ126">
            <v>-1089.4000000000001</v>
          </cell>
          <cell r="CA126">
            <v>-1053.68</v>
          </cell>
          <cell r="CB126">
            <v>-913.04</v>
          </cell>
          <cell r="CC126">
            <v>-837.92</v>
          </cell>
          <cell r="CD126">
            <v>-846.73</v>
          </cell>
          <cell r="CE126">
            <v>-841.2</v>
          </cell>
          <cell r="CF126">
            <v>-813.59</v>
          </cell>
          <cell r="CG126">
            <v>-805.14</v>
          </cell>
          <cell r="CH126">
            <v>-830.87</v>
          </cell>
          <cell r="CI126">
            <v>-871.78</v>
          </cell>
          <cell r="CJ126">
            <v>-1008.63</v>
          </cell>
          <cell r="CK126">
            <v>-1295.1300000000001</v>
          </cell>
          <cell r="CL126">
            <v>-1242.57</v>
          </cell>
          <cell r="CM126">
            <v>-1104.81</v>
          </cell>
          <cell r="CN126">
            <v>-1134.1199999999999</v>
          </cell>
          <cell r="CO126">
            <v>-1011.73</v>
          </cell>
          <cell r="CP126">
            <v>-978.11</v>
          </cell>
          <cell r="CQ126">
            <v>-970.69</v>
          </cell>
          <cell r="CR126">
            <v>-934.75</v>
          </cell>
          <cell r="CS126">
            <v>-946.47</v>
          </cell>
          <cell r="CT126">
            <v>-953.54</v>
          </cell>
          <cell r="CU126">
            <v>-1015.64</v>
          </cell>
          <cell r="CV126">
            <v>-1202.07</v>
          </cell>
          <cell r="CW126">
            <v>-1247.26</v>
          </cell>
          <cell r="CX126">
            <v>-1410.21</v>
          </cell>
          <cell r="CY126">
            <v>-1220.6600000000001</v>
          </cell>
          <cell r="CZ126">
            <v>-1168.5999999999999</v>
          </cell>
          <cell r="DA126">
            <v>-1083.1600000000001</v>
          </cell>
          <cell r="DB126">
            <v>-1007.39</v>
          </cell>
          <cell r="DC126">
            <v>-960.09</v>
          </cell>
          <cell r="DD126">
            <v>-965</v>
          </cell>
          <cell r="DE126">
            <v>-959.62</v>
          </cell>
          <cell r="DF126">
            <v>-1002.42</v>
          </cell>
          <cell r="DG126">
            <v>-1061.6400000000001</v>
          </cell>
          <cell r="DH126">
            <v>-13288.119999999999</v>
          </cell>
        </row>
        <row r="127">
          <cell r="A127" t="str">
            <v>4950208</v>
          </cell>
          <cell r="B127" t="str">
            <v>4950208</v>
          </cell>
          <cell r="C127" t="str">
            <v>OthRev-PoolMgrHist</v>
          </cell>
          <cell r="D127">
            <v>-140</v>
          </cell>
          <cell r="E127">
            <v>-160</v>
          </cell>
          <cell r="F127">
            <v>-60</v>
          </cell>
          <cell r="G127">
            <v>-180</v>
          </cell>
          <cell r="H127">
            <v>0</v>
          </cell>
          <cell r="I127">
            <v>-1100</v>
          </cell>
          <cell r="J127">
            <v>-1060</v>
          </cell>
          <cell r="K127">
            <v>-1560</v>
          </cell>
          <cell r="L127">
            <v>-1320</v>
          </cell>
          <cell r="M127">
            <v>-1300</v>
          </cell>
          <cell r="N127">
            <v>-1380</v>
          </cell>
          <cell r="O127">
            <v>-760</v>
          </cell>
          <cell r="P127">
            <v>-1180</v>
          </cell>
          <cell r="Q127">
            <v>-700</v>
          </cell>
          <cell r="R127">
            <v>-1300</v>
          </cell>
          <cell r="S127">
            <v>-1600</v>
          </cell>
          <cell r="T127">
            <v>0</v>
          </cell>
          <cell r="U127">
            <v>-3780</v>
          </cell>
          <cell r="V127">
            <v>-2100</v>
          </cell>
          <cell r="W127">
            <v>-2300</v>
          </cell>
          <cell r="X127">
            <v>-460</v>
          </cell>
          <cell r="Y127">
            <v>-160</v>
          </cell>
          <cell r="Z127">
            <v>-120</v>
          </cell>
          <cell r="AA127">
            <v>-180</v>
          </cell>
          <cell r="AB127">
            <v>-300</v>
          </cell>
          <cell r="AC127">
            <v>-100</v>
          </cell>
          <cell r="AD127">
            <v>-360</v>
          </cell>
          <cell r="AE127">
            <v>-640</v>
          </cell>
          <cell r="AF127">
            <v>-380</v>
          </cell>
          <cell r="AG127">
            <v>-620</v>
          </cell>
          <cell r="AH127">
            <v>-1140</v>
          </cell>
          <cell r="AI127">
            <v>0</v>
          </cell>
          <cell r="AJ127">
            <v>-360</v>
          </cell>
          <cell r="AK127">
            <v>-280</v>
          </cell>
          <cell r="AL127">
            <v>-200</v>
          </cell>
          <cell r="AM127">
            <v>-80</v>
          </cell>
          <cell r="AN127">
            <v>-160</v>
          </cell>
          <cell r="AO127">
            <v>0</v>
          </cell>
          <cell r="AP127">
            <v>-380</v>
          </cell>
          <cell r="AQ127">
            <v>-80</v>
          </cell>
          <cell r="AR127">
            <v>-180</v>
          </cell>
          <cell r="AS127">
            <v>-280</v>
          </cell>
          <cell r="AT127">
            <v>-740</v>
          </cell>
          <cell r="AU127">
            <v>-80</v>
          </cell>
          <cell r="AV127">
            <v>-120</v>
          </cell>
          <cell r="AW127">
            <v>-100</v>
          </cell>
          <cell r="AX127">
            <v>-40</v>
          </cell>
          <cell r="AY127">
            <v>-60</v>
          </cell>
          <cell r="AZ127">
            <v>-60</v>
          </cell>
          <cell r="BA127">
            <v>-40</v>
          </cell>
          <cell r="BB127">
            <v>-60</v>
          </cell>
          <cell r="BC127">
            <v>0</v>
          </cell>
          <cell r="BD127">
            <v>-20</v>
          </cell>
          <cell r="BE127">
            <v>-100</v>
          </cell>
          <cell r="BF127">
            <v>0</v>
          </cell>
          <cell r="BG127">
            <v>-760</v>
          </cell>
          <cell r="BH127">
            <v>-20</v>
          </cell>
          <cell r="BI127">
            <v>0</v>
          </cell>
          <cell r="BJ127">
            <v>-20</v>
          </cell>
          <cell r="BK127">
            <v>-40</v>
          </cell>
          <cell r="BL127">
            <v>0</v>
          </cell>
          <cell r="BM127">
            <v>-220</v>
          </cell>
          <cell r="BN127">
            <v>-40</v>
          </cell>
          <cell r="BO127">
            <v>-220</v>
          </cell>
          <cell r="BP127">
            <v>0</v>
          </cell>
          <cell r="BQ127">
            <v>-320</v>
          </cell>
          <cell r="BR127">
            <v>-160</v>
          </cell>
          <cell r="BS127">
            <v>-180</v>
          </cell>
          <cell r="BT127">
            <v>-100</v>
          </cell>
          <cell r="BU127">
            <v>0</v>
          </cell>
          <cell r="BV127">
            <v>-60</v>
          </cell>
          <cell r="BW127">
            <v>-40</v>
          </cell>
          <cell r="BX127">
            <v>0</v>
          </cell>
          <cell r="BY127">
            <v>-140</v>
          </cell>
          <cell r="BZ127">
            <v>-80</v>
          </cell>
          <cell r="CA127">
            <v>0</v>
          </cell>
          <cell r="CB127">
            <v>-40</v>
          </cell>
          <cell r="CC127">
            <v>-20</v>
          </cell>
          <cell r="CD127">
            <v>-60</v>
          </cell>
          <cell r="CE127">
            <v>0</v>
          </cell>
          <cell r="CF127">
            <v>-280</v>
          </cell>
          <cell r="CG127">
            <v>-20</v>
          </cell>
          <cell r="CH127">
            <v>0</v>
          </cell>
          <cell r="CI127">
            <v>-20</v>
          </cell>
          <cell r="CJ127">
            <v>-40</v>
          </cell>
          <cell r="CK127">
            <v>0</v>
          </cell>
          <cell r="CL127">
            <v>-20</v>
          </cell>
          <cell r="CM127">
            <v>0</v>
          </cell>
          <cell r="CN127">
            <v>0</v>
          </cell>
          <cell r="CO127">
            <v>-120</v>
          </cell>
          <cell r="CP127">
            <v>-80</v>
          </cell>
          <cell r="CQ127">
            <v>-260</v>
          </cell>
          <cell r="CR127">
            <v>-60</v>
          </cell>
          <cell r="CS127">
            <v>0</v>
          </cell>
          <cell r="CT127">
            <v>-120</v>
          </cell>
          <cell r="CU127">
            <v>-100</v>
          </cell>
          <cell r="CV127">
            <v>-140</v>
          </cell>
          <cell r="CW127">
            <v>-80</v>
          </cell>
          <cell r="CX127">
            <v>-660</v>
          </cell>
          <cell r="CY127">
            <v>-20</v>
          </cell>
          <cell r="CZ127">
            <v>-60</v>
          </cell>
          <cell r="DA127">
            <v>0</v>
          </cell>
          <cell r="DB127">
            <v>-20</v>
          </cell>
          <cell r="DC127">
            <v>-140</v>
          </cell>
          <cell r="DD127">
            <v>-120</v>
          </cell>
          <cell r="DE127">
            <v>-40</v>
          </cell>
          <cell r="DF127">
            <v>-120</v>
          </cell>
          <cell r="DG127">
            <v>-100</v>
          </cell>
          <cell r="DH127">
            <v>-1500</v>
          </cell>
        </row>
        <row r="128">
          <cell r="A128" t="str">
            <v>4950209</v>
          </cell>
          <cell r="B128" t="str">
            <v>4950209</v>
          </cell>
          <cell r="C128" t="str">
            <v>OthRev-PoolMgrAdmin</v>
          </cell>
          <cell r="D128">
            <v>-24382.17</v>
          </cell>
          <cell r="E128">
            <v>-24186.6</v>
          </cell>
          <cell r="F128">
            <v>-23238.5</v>
          </cell>
          <cell r="G128">
            <v>-24385.09</v>
          </cell>
          <cell r="H128">
            <v>-28689.94</v>
          </cell>
          <cell r="I128">
            <v>-24586.560000000001</v>
          </cell>
          <cell r="J128">
            <v>-25409.41</v>
          </cell>
          <cell r="K128">
            <v>-25613.14</v>
          </cell>
          <cell r="L128">
            <v>-24908.71</v>
          </cell>
          <cell r="M128">
            <v>-26449.96</v>
          </cell>
          <cell r="N128">
            <v>-25885.56</v>
          </cell>
          <cell r="O128">
            <v>-25965.64</v>
          </cell>
          <cell r="P128">
            <v>-31476.44</v>
          </cell>
          <cell r="Q128">
            <v>-24834.09</v>
          </cell>
          <cell r="R128">
            <v>-26128.400000000001</v>
          </cell>
          <cell r="S128">
            <v>-26549.67</v>
          </cell>
          <cell r="T128">
            <v>-26098.28</v>
          </cell>
          <cell r="U128">
            <v>-28555.68</v>
          </cell>
          <cell r="V128">
            <v>-26420.23</v>
          </cell>
          <cell r="W128">
            <v>-26974.34</v>
          </cell>
          <cell r="X128">
            <v>-25706.01</v>
          </cell>
          <cell r="Y128">
            <v>-25305.32</v>
          </cell>
          <cell r="Z128">
            <v>-26233.4</v>
          </cell>
          <cell r="AA128">
            <v>-27006.29</v>
          </cell>
          <cell r="AB128">
            <v>-26484.6</v>
          </cell>
          <cell r="AC128">
            <v>-25854.66</v>
          </cell>
          <cell r="AD128">
            <v>-25711.97</v>
          </cell>
          <cell r="AE128">
            <v>-26264.79</v>
          </cell>
          <cell r="AF128">
            <v>-26234.880000000001</v>
          </cell>
          <cell r="AG128">
            <v>-27283.279999999999</v>
          </cell>
          <cell r="AH128">
            <v>-26684.26</v>
          </cell>
          <cell r="AI128">
            <v>-26836.17</v>
          </cell>
          <cell r="AJ128">
            <v>-27409.95</v>
          </cell>
          <cell r="AK128">
            <v>-27210.94</v>
          </cell>
          <cell r="AL128">
            <v>-27006.51</v>
          </cell>
          <cell r="AM128">
            <v>-27145.13</v>
          </cell>
          <cell r="AN128">
            <v>-24572.58</v>
          </cell>
          <cell r="AO128">
            <v>-24606.25</v>
          </cell>
          <cell r="AP128">
            <v>-24689.97</v>
          </cell>
          <cell r="AQ128">
            <v>-24722.73</v>
          </cell>
          <cell r="AR128">
            <v>-24837.39</v>
          </cell>
          <cell r="AS128">
            <v>-24847.4</v>
          </cell>
          <cell r="AT128">
            <v>-24937.49</v>
          </cell>
          <cell r="AU128">
            <v>-24800.080000000002</v>
          </cell>
          <cell r="AV128">
            <v>-25197.79</v>
          </cell>
          <cell r="AW128">
            <v>-25242.38</v>
          </cell>
          <cell r="AX128">
            <v>-25305.17</v>
          </cell>
          <cell r="AY128">
            <v>-24857.33</v>
          </cell>
          <cell r="AZ128">
            <v>-25130.37</v>
          </cell>
          <cell r="BA128">
            <v>-25206.81</v>
          </cell>
          <cell r="BB128">
            <v>-25253.22</v>
          </cell>
          <cell r="BC128">
            <v>-25320.560000000001</v>
          </cell>
          <cell r="BD128">
            <v>-25589.05</v>
          </cell>
          <cell r="BE128">
            <v>-25680.05</v>
          </cell>
          <cell r="BF128">
            <v>-25749.21</v>
          </cell>
          <cell r="BG128">
            <v>-25918.51</v>
          </cell>
          <cell r="BH128">
            <v>-25981.3</v>
          </cell>
          <cell r="BI128">
            <v>-26065.02</v>
          </cell>
          <cell r="BJ128">
            <v>-25952.14</v>
          </cell>
          <cell r="BK128">
            <v>-25988.54</v>
          </cell>
          <cell r="BL128">
            <v>-26125.040000000001</v>
          </cell>
          <cell r="BM128">
            <v>-26138.69</v>
          </cell>
          <cell r="BN128">
            <v>-26169.63</v>
          </cell>
          <cell r="BO128">
            <v>-26038.59</v>
          </cell>
          <cell r="BP128">
            <v>-26034.04</v>
          </cell>
          <cell r="BQ128">
            <v>-26129.59</v>
          </cell>
          <cell r="BR128">
            <v>-26233.33</v>
          </cell>
          <cell r="BS128">
            <v>-26310.68</v>
          </cell>
          <cell r="BT128">
            <v>-26337.98</v>
          </cell>
          <cell r="BU128">
            <v>-26347.99</v>
          </cell>
          <cell r="BV128">
            <v>-26336.16</v>
          </cell>
          <cell r="BW128">
            <v>-26424.43</v>
          </cell>
          <cell r="BX128">
            <v>-26389.81</v>
          </cell>
          <cell r="BY128">
            <v>-26418.02</v>
          </cell>
          <cell r="BZ128">
            <v>-26423.48</v>
          </cell>
          <cell r="CA128">
            <v>-26339.759999999998</v>
          </cell>
          <cell r="CB128">
            <v>-26163.18</v>
          </cell>
          <cell r="CC128">
            <v>-26289.71</v>
          </cell>
          <cell r="CD128">
            <v>-26202.35</v>
          </cell>
          <cell r="CE128">
            <v>-21529.46</v>
          </cell>
          <cell r="CF128">
            <v>-30854.31</v>
          </cell>
          <cell r="CG128">
            <v>-26060.39</v>
          </cell>
          <cell r="CH128">
            <v>-26001.24</v>
          </cell>
          <cell r="CI128">
            <v>-26055.84</v>
          </cell>
          <cell r="CJ128">
            <v>-26120.45</v>
          </cell>
          <cell r="CK128">
            <v>-26110.44</v>
          </cell>
          <cell r="CL128">
            <v>-26122.27</v>
          </cell>
          <cell r="CM128">
            <v>-26195.07</v>
          </cell>
          <cell r="CN128">
            <v>-26236.93</v>
          </cell>
          <cell r="CO128">
            <v>-26331.57</v>
          </cell>
          <cell r="CP128">
            <v>-26360.69</v>
          </cell>
          <cell r="CQ128">
            <v>-25959.26</v>
          </cell>
          <cell r="CR128">
            <v>-26239.62</v>
          </cell>
          <cell r="CS128">
            <v>-26287.85</v>
          </cell>
          <cell r="CT128">
            <v>-26357.01</v>
          </cell>
          <cell r="CU128">
            <v>-26407.97</v>
          </cell>
          <cell r="CV128">
            <v>-26378.85</v>
          </cell>
          <cell r="CW128">
            <v>-26409.79</v>
          </cell>
          <cell r="CX128">
            <v>-26440.73</v>
          </cell>
          <cell r="CY128">
            <v>-23323.1</v>
          </cell>
          <cell r="CZ128">
            <v>-26314.2</v>
          </cell>
          <cell r="DA128">
            <v>-26414.3</v>
          </cell>
          <cell r="DB128">
            <v>-26458.89</v>
          </cell>
          <cell r="DC128">
            <v>-26675.51</v>
          </cell>
          <cell r="DD128">
            <v>-26701.9</v>
          </cell>
          <cell r="DE128">
            <v>-26682.79</v>
          </cell>
          <cell r="DF128">
            <v>-26702.81</v>
          </cell>
          <cell r="DG128">
            <v>-26523.5</v>
          </cell>
          <cell r="DH128">
            <v>-315026.37</v>
          </cell>
        </row>
        <row r="129">
          <cell r="A129" t="str">
            <v>4950210</v>
          </cell>
          <cell r="B129" t="str">
            <v>4950210</v>
          </cell>
          <cell r="C129" t="str">
            <v>OthRev-PoolMgrChg</v>
          </cell>
          <cell r="AN129">
            <v>-4650</v>
          </cell>
          <cell r="AO129">
            <v>0</v>
          </cell>
          <cell r="AP129">
            <v>-3860</v>
          </cell>
          <cell r="AQ129">
            <v>-3360</v>
          </cell>
          <cell r="AR129">
            <v>-2900</v>
          </cell>
          <cell r="AS129">
            <v>-5220</v>
          </cell>
          <cell r="AT129">
            <v>-3510</v>
          </cell>
          <cell r="AU129">
            <v>-2700</v>
          </cell>
          <cell r="AV129">
            <v>-2370</v>
          </cell>
          <cell r="AW129">
            <v>-2660</v>
          </cell>
          <cell r="AX129">
            <v>-2710</v>
          </cell>
          <cell r="AY129">
            <v>-3070</v>
          </cell>
          <cell r="AZ129">
            <v>-2190</v>
          </cell>
          <cell r="BA129">
            <v>-2870</v>
          </cell>
          <cell r="BB129">
            <v>-3410</v>
          </cell>
          <cell r="BC129">
            <v>-3310</v>
          </cell>
          <cell r="BD129">
            <v>-4250</v>
          </cell>
          <cell r="BE129">
            <v>-2610</v>
          </cell>
          <cell r="BF129">
            <v>-3380</v>
          </cell>
          <cell r="BG129">
            <v>-23650</v>
          </cell>
          <cell r="BH129">
            <v>-3000</v>
          </cell>
          <cell r="BI129">
            <v>-2650</v>
          </cell>
          <cell r="BJ129">
            <v>-3030</v>
          </cell>
          <cell r="BK129">
            <v>-4320</v>
          </cell>
          <cell r="BL129">
            <v>-2540</v>
          </cell>
          <cell r="BM129">
            <v>-2980</v>
          </cell>
          <cell r="BN129">
            <v>-2350</v>
          </cell>
          <cell r="BO129">
            <v>-3330</v>
          </cell>
          <cell r="BP129">
            <v>-3210</v>
          </cell>
          <cell r="BQ129">
            <v>-3040</v>
          </cell>
          <cell r="BR129">
            <v>-5630</v>
          </cell>
          <cell r="BS129">
            <v>-2490</v>
          </cell>
          <cell r="BT129">
            <v>-2760</v>
          </cell>
          <cell r="BU129">
            <v>-4770</v>
          </cell>
          <cell r="BV129">
            <v>-19220</v>
          </cell>
          <cell r="BW129">
            <v>-2630</v>
          </cell>
          <cell r="BX129">
            <v>-2300</v>
          </cell>
          <cell r="BY129">
            <v>-2220</v>
          </cell>
          <cell r="BZ129">
            <v>-130</v>
          </cell>
          <cell r="CA129">
            <v>-3490</v>
          </cell>
          <cell r="CB129">
            <v>-2210</v>
          </cell>
          <cell r="CC129">
            <v>-2780</v>
          </cell>
          <cell r="CD129">
            <v>-2200</v>
          </cell>
          <cell r="CE129">
            <v>-3170</v>
          </cell>
          <cell r="CF129">
            <v>-2580</v>
          </cell>
          <cell r="CG129">
            <v>-2180</v>
          </cell>
          <cell r="CH129">
            <v>-2230</v>
          </cell>
          <cell r="CI129">
            <v>-3030</v>
          </cell>
          <cell r="CJ129">
            <v>-2890</v>
          </cell>
          <cell r="CK129">
            <v>-2930</v>
          </cell>
          <cell r="CL129">
            <v>-2630</v>
          </cell>
          <cell r="CM129">
            <v>-3840</v>
          </cell>
          <cell r="CN129">
            <v>-3600</v>
          </cell>
          <cell r="CO129">
            <v>-66440</v>
          </cell>
          <cell r="CP129">
            <v>-3700</v>
          </cell>
          <cell r="CQ129">
            <v>-3050</v>
          </cell>
          <cell r="CR129">
            <v>-3140</v>
          </cell>
          <cell r="CS129">
            <v>-2790</v>
          </cell>
          <cell r="CT129">
            <v>-3390</v>
          </cell>
          <cell r="CU129">
            <v>-3610</v>
          </cell>
          <cell r="CV129">
            <v>-2890</v>
          </cell>
          <cell r="CW129">
            <v>-2950</v>
          </cell>
          <cell r="CX129">
            <v>-2730</v>
          </cell>
          <cell r="CY129">
            <v>-2720</v>
          </cell>
          <cell r="CZ129">
            <v>-3060</v>
          </cell>
          <cell r="DA129">
            <v>-3740</v>
          </cell>
          <cell r="DB129">
            <v>-3950</v>
          </cell>
          <cell r="DC129">
            <v>-4020</v>
          </cell>
          <cell r="DD129">
            <v>-2780</v>
          </cell>
          <cell r="DE129">
            <v>-2500</v>
          </cell>
          <cell r="DF129">
            <v>-25730</v>
          </cell>
          <cell r="DG129">
            <v>-3510</v>
          </cell>
          <cell r="DH129">
            <v>-60580</v>
          </cell>
        </row>
        <row r="130">
          <cell r="A130" t="str">
            <v>4950211</v>
          </cell>
          <cell r="B130" t="str">
            <v>4950211</v>
          </cell>
          <cell r="C130" t="str">
            <v>OthRev-Termination</v>
          </cell>
          <cell r="D130">
            <v>-900</v>
          </cell>
          <cell r="E130">
            <v>-810</v>
          </cell>
          <cell r="F130">
            <v>-510</v>
          </cell>
          <cell r="G130">
            <v>-390</v>
          </cell>
          <cell r="H130">
            <v>0</v>
          </cell>
          <cell r="I130">
            <v>-1080</v>
          </cell>
          <cell r="J130">
            <v>-600</v>
          </cell>
          <cell r="K130">
            <v>-480</v>
          </cell>
          <cell r="L130">
            <v>-420</v>
          </cell>
          <cell r="M130">
            <v>-780</v>
          </cell>
          <cell r="N130">
            <v>-780</v>
          </cell>
          <cell r="O130">
            <v>-390</v>
          </cell>
          <cell r="P130">
            <v>-990</v>
          </cell>
          <cell r="Q130">
            <v>-900</v>
          </cell>
          <cell r="R130">
            <v>-480</v>
          </cell>
          <cell r="S130">
            <v>-630</v>
          </cell>
          <cell r="T130">
            <v>0</v>
          </cell>
          <cell r="U130">
            <v>-900</v>
          </cell>
          <cell r="V130">
            <v>-360</v>
          </cell>
          <cell r="W130">
            <v>-360</v>
          </cell>
          <cell r="X130">
            <v>-480</v>
          </cell>
          <cell r="Y130">
            <v>-420</v>
          </cell>
          <cell r="Z130">
            <v>-360</v>
          </cell>
          <cell r="AA130">
            <v>-780</v>
          </cell>
          <cell r="AB130">
            <v>-390</v>
          </cell>
          <cell r="AC130">
            <v>-810</v>
          </cell>
          <cell r="AD130">
            <v>-510</v>
          </cell>
          <cell r="AE130">
            <v>-390</v>
          </cell>
          <cell r="AF130">
            <v>-360</v>
          </cell>
          <cell r="AG130">
            <v>-210</v>
          </cell>
          <cell r="AH130">
            <v>-930</v>
          </cell>
          <cell r="AI130">
            <v>0</v>
          </cell>
          <cell r="AJ130">
            <v>-540</v>
          </cell>
          <cell r="AK130">
            <v>-240</v>
          </cell>
          <cell r="AL130">
            <v>-390</v>
          </cell>
          <cell r="AM130">
            <v>-690</v>
          </cell>
          <cell r="AN130">
            <v>-480</v>
          </cell>
          <cell r="AO130">
            <v>0</v>
          </cell>
          <cell r="AP130">
            <v>-1620</v>
          </cell>
          <cell r="AQ130">
            <v>-30</v>
          </cell>
          <cell r="AR130">
            <v>-720</v>
          </cell>
          <cell r="AS130">
            <v>-600</v>
          </cell>
          <cell r="AT130">
            <v>-510</v>
          </cell>
          <cell r="AU130">
            <v>-630</v>
          </cell>
          <cell r="AV130">
            <v>-480</v>
          </cell>
          <cell r="AW130">
            <v>-450</v>
          </cell>
          <cell r="AX130">
            <v>-690</v>
          </cell>
          <cell r="AY130">
            <v>-600</v>
          </cell>
          <cell r="AZ130">
            <v>-270</v>
          </cell>
          <cell r="BA130">
            <v>-510</v>
          </cell>
          <cell r="BB130">
            <v>-360</v>
          </cell>
          <cell r="BC130">
            <v>-540</v>
          </cell>
          <cell r="BD130">
            <v>-240</v>
          </cell>
          <cell r="BE130">
            <v>-600</v>
          </cell>
          <cell r="BF130">
            <v>0</v>
          </cell>
          <cell r="BG130">
            <v>-540</v>
          </cell>
          <cell r="BH130">
            <v>-150</v>
          </cell>
          <cell r="BI130">
            <v>-570</v>
          </cell>
          <cell r="BJ130">
            <v>-480</v>
          </cell>
          <cell r="BK130">
            <v>-630</v>
          </cell>
          <cell r="BL130">
            <v>-810</v>
          </cell>
          <cell r="BM130">
            <v>-990</v>
          </cell>
          <cell r="BN130">
            <v>-660</v>
          </cell>
          <cell r="BO130">
            <v>-300</v>
          </cell>
          <cell r="BP130">
            <v>0</v>
          </cell>
          <cell r="BQ130">
            <v>-510</v>
          </cell>
          <cell r="BR130">
            <v>-480</v>
          </cell>
          <cell r="BS130">
            <v>-510</v>
          </cell>
          <cell r="BT130">
            <v>-240</v>
          </cell>
          <cell r="BU130">
            <v>0</v>
          </cell>
          <cell r="BV130">
            <v>-2130</v>
          </cell>
          <cell r="BW130">
            <v>-450</v>
          </cell>
          <cell r="BX130">
            <v>-450</v>
          </cell>
          <cell r="BY130">
            <v>-390</v>
          </cell>
          <cell r="BZ130">
            <v>-450</v>
          </cell>
          <cell r="CA130">
            <v>-360</v>
          </cell>
          <cell r="CB130">
            <v>-690</v>
          </cell>
          <cell r="CC130">
            <v>-1050</v>
          </cell>
          <cell r="CD130">
            <v>-1110</v>
          </cell>
          <cell r="CE130">
            <v>-540</v>
          </cell>
          <cell r="CF130">
            <v>-600</v>
          </cell>
          <cell r="CG130">
            <v>-480</v>
          </cell>
          <cell r="CH130">
            <v>-240</v>
          </cell>
          <cell r="CI130">
            <v>-600</v>
          </cell>
          <cell r="CJ130">
            <v>-240</v>
          </cell>
          <cell r="CK130">
            <v>-728</v>
          </cell>
          <cell r="CL130">
            <v>-364</v>
          </cell>
          <cell r="CM130">
            <v>-208</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-52</v>
          </cell>
          <cell r="DE130">
            <v>0</v>
          </cell>
          <cell r="DF130">
            <v>0</v>
          </cell>
          <cell r="DG130">
            <v>0</v>
          </cell>
          <cell r="DH130">
            <v>-52</v>
          </cell>
        </row>
        <row r="131">
          <cell r="A131" t="str">
            <v>4950212</v>
          </cell>
          <cell r="B131" t="str">
            <v>4950212</v>
          </cell>
          <cell r="C131" t="str">
            <v>OthRev-FLGasUtility</v>
          </cell>
          <cell r="D131">
            <v>-41490</v>
          </cell>
          <cell r="E131">
            <v>-33072</v>
          </cell>
          <cell r="F131">
            <v>-26102</v>
          </cell>
          <cell r="G131">
            <v>-18820</v>
          </cell>
          <cell r="H131">
            <v>-15838</v>
          </cell>
          <cell r="I131">
            <v>-14210</v>
          </cell>
          <cell r="J131">
            <v>-14106</v>
          </cell>
          <cell r="K131">
            <v>0</v>
          </cell>
          <cell r="L131">
            <v>14106</v>
          </cell>
          <cell r="M131">
            <v>-14188</v>
          </cell>
          <cell r="N131">
            <v>-20631</v>
          </cell>
          <cell r="O131">
            <v>-30573</v>
          </cell>
          <cell r="P131">
            <v>-37368</v>
          </cell>
          <cell r="Q131">
            <v>-29252</v>
          </cell>
          <cell r="R131">
            <v>-29703.05</v>
          </cell>
          <cell r="S131">
            <v>-15099</v>
          </cell>
          <cell r="T131">
            <v>0</v>
          </cell>
          <cell r="U131">
            <v>0</v>
          </cell>
          <cell r="V131">
            <v>-2426.88</v>
          </cell>
          <cell r="W131">
            <v>0</v>
          </cell>
          <cell r="X131">
            <v>-4004.69</v>
          </cell>
          <cell r="Y131">
            <v>-14188</v>
          </cell>
          <cell r="Z131">
            <v>-20631</v>
          </cell>
          <cell r="AA131">
            <v>-30573</v>
          </cell>
          <cell r="AB131">
            <v>-37368</v>
          </cell>
          <cell r="AC131">
            <v>-34759.26</v>
          </cell>
          <cell r="AD131">
            <v>-21517</v>
          </cell>
          <cell r="AE131">
            <v>-18539.509999999998</v>
          </cell>
          <cell r="AF131">
            <v>-6676.37</v>
          </cell>
          <cell r="AG131">
            <v>0</v>
          </cell>
          <cell r="AH131">
            <v>0</v>
          </cell>
          <cell r="AI131">
            <v>0</v>
          </cell>
          <cell r="AJ131">
            <v>0</v>
          </cell>
          <cell r="AK131">
            <v>-14188</v>
          </cell>
          <cell r="AL131">
            <v>14188</v>
          </cell>
          <cell r="AM131">
            <v>0</v>
          </cell>
          <cell r="AN131">
            <v>0</v>
          </cell>
          <cell r="AO131">
            <v>0</v>
          </cell>
          <cell r="AP131">
            <v>0</v>
          </cell>
          <cell r="AQ131">
            <v>0</v>
          </cell>
          <cell r="AR131">
            <v>0</v>
          </cell>
          <cell r="AS131">
            <v>0</v>
          </cell>
          <cell r="AT131">
            <v>0</v>
          </cell>
          <cell r="AU131">
            <v>0</v>
          </cell>
          <cell r="AV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row>
        <row r="132">
          <cell r="A132" t="str">
            <v>4950213</v>
          </cell>
          <cell r="B132" t="str">
            <v>4950213</v>
          </cell>
          <cell r="C132" t="str">
            <v>OthRev-Supplier FTA</v>
          </cell>
          <cell r="D132">
            <v>-39621.269999999997</v>
          </cell>
          <cell r="E132">
            <v>-759422.6</v>
          </cell>
          <cell r="F132">
            <v>-1135311.55</v>
          </cell>
          <cell r="G132">
            <v>-36450.300000000003</v>
          </cell>
          <cell r="H132">
            <v>-1701.82</v>
          </cell>
          <cell r="I132">
            <v>-13004.94</v>
          </cell>
          <cell r="J132">
            <v>-27840.63</v>
          </cell>
          <cell r="K132">
            <v>-6234.51</v>
          </cell>
          <cell r="L132">
            <v>-7654.28</v>
          </cell>
          <cell r="M132">
            <v>-373678.85</v>
          </cell>
          <cell r="N132">
            <v>-57238.63</v>
          </cell>
          <cell r="O132">
            <v>-224553.11</v>
          </cell>
          <cell r="P132">
            <v>-170617.44</v>
          </cell>
          <cell r="Q132">
            <v>-343669</v>
          </cell>
          <cell r="R132">
            <v>-513556.46</v>
          </cell>
          <cell r="S132">
            <v>-160717.82999999999</v>
          </cell>
          <cell r="T132">
            <v>-10815.62</v>
          </cell>
          <cell r="U132">
            <v>-15829.87</v>
          </cell>
          <cell r="V132">
            <v>-521326.59</v>
          </cell>
          <cell r="W132">
            <v>-50955.19</v>
          </cell>
          <cell r="X132">
            <v>-257959.14</v>
          </cell>
          <cell r="Y132">
            <v>-309877.44</v>
          </cell>
          <cell r="Z132">
            <v>-68648.03</v>
          </cell>
          <cell r="AA132">
            <v>-129949.65</v>
          </cell>
          <cell r="AB132">
            <v>-236741.56</v>
          </cell>
          <cell r="AC132">
            <v>-623944</v>
          </cell>
          <cell r="AD132">
            <v>-330860.55</v>
          </cell>
          <cell r="AE132">
            <v>-8325.3700000000008</v>
          </cell>
          <cell r="AF132">
            <v>-3094.88</v>
          </cell>
          <cell r="AG132">
            <v>-59962.16</v>
          </cell>
          <cell r="AH132">
            <v>-84216.95</v>
          </cell>
          <cell r="AI132">
            <v>-3419.63</v>
          </cell>
          <cell r="AJ132">
            <v>-10628.54</v>
          </cell>
          <cell r="AK132">
            <v>-196649.23</v>
          </cell>
          <cell r="AL132">
            <v>-14150</v>
          </cell>
          <cell r="AM132">
            <v>-191001.78</v>
          </cell>
          <cell r="AN132">
            <v>-151136.51</v>
          </cell>
          <cell r="AO132">
            <v>-379263.57</v>
          </cell>
          <cell r="AP132">
            <v>18763.150000000001</v>
          </cell>
          <cell r="AQ132">
            <v>-375718.76</v>
          </cell>
          <cell r="AR132">
            <v>37419.199999999997</v>
          </cell>
          <cell r="AS132">
            <v>2505.1999999999998</v>
          </cell>
          <cell r="AT132">
            <v>-39516.589999999997</v>
          </cell>
          <cell r="AU132">
            <v>-976.69</v>
          </cell>
          <cell r="AV132">
            <v>-0.95</v>
          </cell>
          <cell r="AW132">
            <v>-11242.6</v>
          </cell>
          <cell r="AX132">
            <v>-104501.57</v>
          </cell>
          <cell r="AY132">
            <v>-439724.94</v>
          </cell>
          <cell r="AZ132">
            <v>-121084.61</v>
          </cell>
          <cell r="BA132">
            <v>-140684.32999999999</v>
          </cell>
          <cell r="BB132">
            <v>-14224.98</v>
          </cell>
          <cell r="BC132">
            <v>-13451.56</v>
          </cell>
          <cell r="BD132">
            <v>-196993.41</v>
          </cell>
          <cell r="BE132">
            <v>-2775.54</v>
          </cell>
          <cell r="BF132">
            <v>-131279.17000000001</v>
          </cell>
          <cell r="BG132">
            <v>-968.02</v>
          </cell>
          <cell r="BH132">
            <v>-11375.69</v>
          </cell>
          <cell r="BI132">
            <v>-512046.4</v>
          </cell>
          <cell r="BJ132">
            <v>-46210.47</v>
          </cell>
          <cell r="BK132">
            <v>-251458.55</v>
          </cell>
          <cell r="BL132">
            <v>-301732.65000000002</v>
          </cell>
          <cell r="BM132">
            <v>-201330.51</v>
          </cell>
          <cell r="BN132">
            <v>-535705.05000000005</v>
          </cell>
          <cell r="BO132">
            <v>-28778.85</v>
          </cell>
          <cell r="BP132">
            <v>-5282.83</v>
          </cell>
          <cell r="BQ132">
            <v>-8874.84</v>
          </cell>
          <cell r="BR132">
            <v>-14676.99</v>
          </cell>
          <cell r="BS132">
            <v>-0.11</v>
          </cell>
          <cell r="BT132">
            <v>-65004.74</v>
          </cell>
          <cell r="BU132">
            <v>-185061.04</v>
          </cell>
          <cell r="BV132">
            <v>-7520.93</v>
          </cell>
          <cell r="BW132">
            <v>-72496.39</v>
          </cell>
          <cell r="BX132">
            <v>-150898.81</v>
          </cell>
          <cell r="BY132">
            <v>-214974.98</v>
          </cell>
          <cell r="BZ132">
            <v>-142742.75</v>
          </cell>
          <cell r="CA132">
            <v>-35771.19</v>
          </cell>
          <cell r="CB132">
            <v>-9365.48</v>
          </cell>
          <cell r="CC132">
            <v>12163.78</v>
          </cell>
          <cell r="CD132">
            <v>-178890.55</v>
          </cell>
          <cell r="CE132">
            <v>-65451.86</v>
          </cell>
          <cell r="CF132">
            <v>-175537.48</v>
          </cell>
          <cell r="CG132">
            <v>-10380.06</v>
          </cell>
          <cell r="CH132">
            <v>-23311.35</v>
          </cell>
          <cell r="CI132">
            <v>-301309.84999999998</v>
          </cell>
          <cell r="CJ132">
            <v>-441268.87</v>
          </cell>
          <cell r="CK132">
            <v>-1496814.36</v>
          </cell>
          <cell r="CL132">
            <v>752666.97</v>
          </cell>
          <cell r="CM132">
            <v>-70229.350000000006</v>
          </cell>
          <cell r="CN132">
            <v>-51580.29</v>
          </cell>
          <cell r="CO132">
            <v>-1558.17</v>
          </cell>
          <cell r="CP132">
            <v>-180192.93</v>
          </cell>
          <cell r="CQ132">
            <v>-132133.34</v>
          </cell>
          <cell r="CR132">
            <v>58154.25</v>
          </cell>
          <cell r="CS132">
            <v>-271246.73</v>
          </cell>
          <cell r="CT132">
            <v>-811326.67</v>
          </cell>
          <cell r="CU132">
            <v>-204982.69</v>
          </cell>
          <cell r="CV132">
            <v>-128433.27</v>
          </cell>
          <cell r="CW132">
            <v>-228061</v>
          </cell>
          <cell r="CX132">
            <v>-485982.46</v>
          </cell>
          <cell r="CY132">
            <v>-69919.25</v>
          </cell>
          <cell r="CZ132">
            <v>-39187.03</v>
          </cell>
          <cell r="DA132">
            <v>-186902.72</v>
          </cell>
          <cell r="DB132">
            <v>-121963.54</v>
          </cell>
          <cell r="DC132">
            <v>-94100.03</v>
          </cell>
          <cell r="DD132">
            <v>3674.52</v>
          </cell>
          <cell r="DE132">
            <v>-126363.9</v>
          </cell>
          <cell r="DF132">
            <v>-302678.68</v>
          </cell>
          <cell r="DG132">
            <v>-388063.33</v>
          </cell>
          <cell r="DH132">
            <v>-2167980.69</v>
          </cell>
        </row>
        <row r="133">
          <cell r="A133" t="str">
            <v>4950214</v>
          </cell>
          <cell r="B133" t="str">
            <v>4950214</v>
          </cell>
          <cell r="C133" t="str">
            <v>OthRev-Hardee Maint</v>
          </cell>
          <cell r="AE133">
            <v>0</v>
          </cell>
          <cell r="AF133">
            <v>-329800</v>
          </cell>
          <cell r="AG133">
            <v>0</v>
          </cell>
          <cell r="AH133">
            <v>0</v>
          </cell>
          <cell r="AI133">
            <v>0</v>
          </cell>
          <cell r="AJ133">
            <v>0</v>
          </cell>
          <cell r="AK133">
            <v>-329800</v>
          </cell>
          <cell r="AL133">
            <v>0</v>
          </cell>
          <cell r="AM133">
            <v>0</v>
          </cell>
          <cell r="AN133">
            <v>0</v>
          </cell>
          <cell r="AO133">
            <v>35928.14</v>
          </cell>
          <cell r="AP133">
            <v>17964.07</v>
          </cell>
          <cell r="AQ133">
            <v>17964.07</v>
          </cell>
          <cell r="AR133">
            <v>17964.07</v>
          </cell>
          <cell r="AS133">
            <v>17964.07</v>
          </cell>
          <cell r="AT133">
            <v>17964.07</v>
          </cell>
          <cell r="AU133">
            <v>0</v>
          </cell>
          <cell r="AV133">
            <v>35928.14</v>
          </cell>
          <cell r="AW133">
            <v>17964.07</v>
          </cell>
          <cell r="AX133">
            <v>17964.07</v>
          </cell>
          <cell r="AY133">
            <v>17964.07</v>
          </cell>
          <cell r="AZ133">
            <v>17964.07</v>
          </cell>
          <cell r="BA133">
            <v>17964.07</v>
          </cell>
          <cell r="BB133">
            <v>17964.07</v>
          </cell>
          <cell r="BC133">
            <v>17964.07</v>
          </cell>
          <cell r="BD133">
            <v>17964.07</v>
          </cell>
          <cell r="BE133">
            <v>17964.07</v>
          </cell>
          <cell r="BF133">
            <v>17964.07</v>
          </cell>
          <cell r="BG133">
            <v>17964.07</v>
          </cell>
          <cell r="BH133">
            <v>17964.07</v>
          </cell>
          <cell r="BI133">
            <v>17964.07</v>
          </cell>
          <cell r="BJ133">
            <v>17964.07</v>
          </cell>
          <cell r="BK133">
            <v>17964.07</v>
          </cell>
          <cell r="BL133">
            <v>17964.07</v>
          </cell>
          <cell r="BM133">
            <v>17964.07</v>
          </cell>
          <cell r="BN133">
            <v>17964.07</v>
          </cell>
          <cell r="BO133">
            <v>17964.07</v>
          </cell>
          <cell r="BP133">
            <v>17964.07</v>
          </cell>
          <cell r="BQ133">
            <v>17964.07</v>
          </cell>
          <cell r="BR133">
            <v>17964.07</v>
          </cell>
          <cell r="BS133">
            <v>17964.07</v>
          </cell>
          <cell r="BT133">
            <v>17964.07</v>
          </cell>
          <cell r="BU133">
            <v>17964.07</v>
          </cell>
          <cell r="BV133">
            <v>17964.07</v>
          </cell>
          <cell r="BW133">
            <v>17964.07</v>
          </cell>
          <cell r="BX133">
            <v>17964.07</v>
          </cell>
          <cell r="BY133">
            <v>17964.07</v>
          </cell>
          <cell r="BZ133">
            <v>17964.07</v>
          </cell>
          <cell r="CA133">
            <v>17964.07</v>
          </cell>
          <cell r="CB133">
            <v>17964.07</v>
          </cell>
          <cell r="CC133">
            <v>17964.07</v>
          </cell>
          <cell r="CD133">
            <v>17964.07</v>
          </cell>
          <cell r="CE133">
            <v>17964.07</v>
          </cell>
          <cell r="CF133">
            <v>17964.07</v>
          </cell>
          <cell r="CG133">
            <v>17964.07</v>
          </cell>
          <cell r="CH133">
            <v>17964.07</v>
          </cell>
          <cell r="CI133">
            <v>17964.07</v>
          </cell>
          <cell r="CJ133">
            <v>17964.07</v>
          </cell>
          <cell r="CK133">
            <v>17964.07</v>
          </cell>
          <cell r="CL133">
            <v>17964.07</v>
          </cell>
          <cell r="CM133">
            <v>17964.07</v>
          </cell>
          <cell r="CN133">
            <v>17964.07</v>
          </cell>
          <cell r="CO133">
            <v>17964.07</v>
          </cell>
          <cell r="CP133">
            <v>17964.07</v>
          </cell>
          <cell r="CQ133">
            <v>17964.07</v>
          </cell>
          <cell r="CR133">
            <v>17964.07</v>
          </cell>
          <cell r="CS133">
            <v>17964.07</v>
          </cell>
          <cell r="CT133">
            <v>17964.07</v>
          </cell>
          <cell r="CU133">
            <v>17964.07</v>
          </cell>
          <cell r="CV133">
            <v>17964.07</v>
          </cell>
          <cell r="CW133">
            <v>17964.07</v>
          </cell>
          <cell r="CX133">
            <v>17964.07</v>
          </cell>
          <cell r="CY133">
            <v>17964.07</v>
          </cell>
          <cell r="CZ133">
            <v>17964.07</v>
          </cell>
          <cell r="DA133">
            <v>17964.07</v>
          </cell>
          <cell r="DB133">
            <v>17964.07</v>
          </cell>
          <cell r="DC133">
            <v>17964.07</v>
          </cell>
          <cell r="DD133">
            <v>17964.07</v>
          </cell>
          <cell r="DE133">
            <v>17964.07</v>
          </cell>
          <cell r="DF133">
            <v>17964.07</v>
          </cell>
          <cell r="DG133">
            <v>17964.07</v>
          </cell>
          <cell r="DH133">
            <v>215568.84000000005</v>
          </cell>
        </row>
        <row r="134">
          <cell r="A134" t="str">
            <v>4950215</v>
          </cell>
          <cell r="B134" t="str">
            <v>4950215</v>
          </cell>
          <cell r="C134" t="str">
            <v>OthRev-HardeeBuySell</v>
          </cell>
          <cell r="BL134">
            <v>0</v>
          </cell>
          <cell r="BM134">
            <v>0</v>
          </cell>
          <cell r="BN134">
            <v>0</v>
          </cell>
          <cell r="BO134">
            <v>0</v>
          </cell>
          <cell r="BP134">
            <v>0</v>
          </cell>
          <cell r="BQ134">
            <v>0</v>
          </cell>
          <cell r="BR134">
            <v>0</v>
          </cell>
          <cell r="BS134">
            <v>-577394.22</v>
          </cell>
          <cell r="BT134">
            <v>-603495.04</v>
          </cell>
          <cell r="BU134">
            <v>-604053.05000000005</v>
          </cell>
          <cell r="BV134">
            <v>-683939.38</v>
          </cell>
          <cell r="BW134">
            <v>-952748.88</v>
          </cell>
          <cell r="BX134">
            <v>5697.37</v>
          </cell>
          <cell r="BY134">
            <v>415.83</v>
          </cell>
          <cell r="BZ134">
            <v>126.29</v>
          </cell>
          <cell r="CA134">
            <v>684.15</v>
          </cell>
          <cell r="CB134">
            <v>-104.18</v>
          </cell>
          <cell r="CC134">
            <v>-77.739999999999995</v>
          </cell>
          <cell r="CD134">
            <v>-118.2</v>
          </cell>
          <cell r="CE134">
            <v>-220.26</v>
          </cell>
          <cell r="CF134">
            <v>-315.58999999999997</v>
          </cell>
          <cell r="CG134">
            <v>-11.5</v>
          </cell>
          <cell r="CH134">
            <v>4.55</v>
          </cell>
          <cell r="CI134">
            <v>534.74</v>
          </cell>
          <cell r="CJ134">
            <v>9.24</v>
          </cell>
          <cell r="CK134">
            <v>6.36</v>
          </cell>
          <cell r="CL134">
            <v>157.77000000000001</v>
          </cell>
          <cell r="CM134">
            <v>0.36</v>
          </cell>
          <cell r="CN134">
            <v>1.89</v>
          </cell>
          <cell r="CO134">
            <v>-13.23</v>
          </cell>
          <cell r="CP134">
            <v>0.14000000000000001</v>
          </cell>
          <cell r="CQ134">
            <v>0</v>
          </cell>
          <cell r="CR134">
            <v>0</v>
          </cell>
          <cell r="CS134">
            <v>0.32</v>
          </cell>
          <cell r="CT134">
            <v>0.32</v>
          </cell>
          <cell r="CU134">
            <v>0</v>
          </cell>
          <cell r="CV134">
            <v>-0.32</v>
          </cell>
          <cell r="CW134">
            <v>0</v>
          </cell>
          <cell r="CX134">
            <v>0</v>
          </cell>
          <cell r="CY134">
            <v>2.59</v>
          </cell>
          <cell r="CZ134">
            <v>-2.59</v>
          </cell>
          <cell r="DA134">
            <v>0</v>
          </cell>
          <cell r="DB134">
            <v>0.01</v>
          </cell>
          <cell r="DC134">
            <v>0</v>
          </cell>
          <cell r="DD134">
            <v>0</v>
          </cell>
          <cell r="DE134">
            <v>0</v>
          </cell>
          <cell r="DF134">
            <v>0.51</v>
          </cell>
          <cell r="DG134">
            <v>0</v>
          </cell>
          <cell r="DH134">
            <v>0.20000000000000018</v>
          </cell>
        </row>
        <row r="135">
          <cell r="A135" t="str">
            <v>4950220</v>
          </cell>
          <cell r="B135" t="str">
            <v>4950220</v>
          </cell>
          <cell r="C135" t="str">
            <v>OthRev-DailyOvrUsage</v>
          </cell>
          <cell r="CA135">
            <v>-579.97</v>
          </cell>
          <cell r="CB135">
            <v>0</v>
          </cell>
          <cell r="CC135">
            <v>-4529.2700000000004</v>
          </cell>
          <cell r="CD135">
            <v>-5291.19</v>
          </cell>
          <cell r="CE135">
            <v>-4288.76</v>
          </cell>
          <cell r="CF135">
            <v>-1041.52</v>
          </cell>
          <cell r="CG135">
            <v>-3553.46</v>
          </cell>
          <cell r="CH135">
            <v>-9865.4599999999991</v>
          </cell>
          <cell r="CI135">
            <v>4932.7299999999996</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123637.07</v>
          </cell>
          <cell r="DH135">
            <v>123637.07</v>
          </cell>
        </row>
        <row r="136">
          <cell r="A136" t="str">
            <v>4950271</v>
          </cell>
          <cell r="B136" t="str">
            <v>4950271</v>
          </cell>
          <cell r="C136" t="str">
            <v>CI/BSR Rider Revenue</v>
          </cell>
          <cell r="D136">
            <v>-247786.94</v>
          </cell>
          <cell r="E136">
            <v>-255179.37</v>
          </cell>
          <cell r="F136">
            <v>-214051.12</v>
          </cell>
          <cell r="G136">
            <v>-193065.21</v>
          </cell>
          <cell r="H136">
            <v>-160404.26999999999</v>
          </cell>
          <cell r="I136">
            <v>-153132.13</v>
          </cell>
          <cell r="J136">
            <v>-140786.32</v>
          </cell>
          <cell r="K136">
            <v>-130752.38</v>
          </cell>
          <cell r="L136">
            <v>-140257.57</v>
          </cell>
          <cell r="M136">
            <v>-145374.07999999999</v>
          </cell>
          <cell r="N136">
            <v>-163926.46</v>
          </cell>
          <cell r="O136">
            <v>-213697.83</v>
          </cell>
          <cell r="P136">
            <v>-392426.97</v>
          </cell>
          <cell r="Q136">
            <v>-404258.14</v>
          </cell>
          <cell r="R136">
            <v>-391864.09</v>
          </cell>
          <cell r="S136">
            <v>-293880.45</v>
          </cell>
          <cell r="T136">
            <v>-238738.44</v>
          </cell>
          <cell r="U136">
            <v>-243327.4</v>
          </cell>
          <cell r="V136">
            <v>-222736.7</v>
          </cell>
          <cell r="W136">
            <v>-227074.67</v>
          </cell>
          <cell r="X136">
            <v>-219553.22</v>
          </cell>
          <cell r="Y136">
            <v>-227287.32</v>
          </cell>
          <cell r="Z136">
            <v>-248706.66</v>
          </cell>
          <cell r="AA136">
            <v>-291957.28999999998</v>
          </cell>
          <cell r="AB136">
            <v>-503560.9</v>
          </cell>
          <cell r="AC136">
            <v>-555846.15</v>
          </cell>
          <cell r="AD136">
            <v>-486680.24</v>
          </cell>
          <cell r="AE136">
            <v>-423633.84</v>
          </cell>
          <cell r="AF136">
            <v>-371706.55</v>
          </cell>
          <cell r="AG136">
            <v>-335098.07</v>
          </cell>
          <cell r="AH136">
            <v>-315950.17</v>
          </cell>
          <cell r="AI136">
            <v>-292722.45</v>
          </cell>
          <cell r="AJ136">
            <v>-315170.59999999998</v>
          </cell>
          <cell r="AK136">
            <v>-310225.51</v>
          </cell>
          <cell r="AL136">
            <v>-361294.9</v>
          </cell>
          <cell r="AM136">
            <v>-431790</v>
          </cell>
          <cell r="AN136">
            <v>-466458.15</v>
          </cell>
          <cell r="AO136">
            <v>-437701.91</v>
          </cell>
          <cell r="AP136">
            <v>-412161.38</v>
          </cell>
          <cell r="AQ136">
            <v>-401571.87</v>
          </cell>
          <cell r="AR136">
            <v>-342826.81</v>
          </cell>
          <cell r="AS136">
            <v>-308653.09999999998</v>
          </cell>
          <cell r="AT136">
            <v>-285347.69</v>
          </cell>
          <cell r="AU136">
            <v>-277844.7</v>
          </cell>
          <cell r="AV136">
            <v>-310899.46999999997</v>
          </cell>
          <cell r="AW136">
            <v>-276331.62</v>
          </cell>
          <cell r="AX136">
            <v>-338610.15</v>
          </cell>
          <cell r="AY136">
            <v>-415205.38</v>
          </cell>
          <cell r="AZ136">
            <v>-1347064.28</v>
          </cell>
          <cell r="BA136">
            <v>-1177801.92</v>
          </cell>
          <cell r="BB136">
            <v>-962303.96</v>
          </cell>
          <cell r="BC136">
            <v>-994094.4</v>
          </cell>
          <cell r="BD136">
            <v>-799283.78</v>
          </cell>
          <cell r="BE136">
            <v>-757629.51</v>
          </cell>
          <cell r="BF136">
            <v>-675394.22</v>
          </cell>
          <cell r="BG136">
            <v>-651091.89</v>
          </cell>
          <cell r="BH136">
            <v>-715195.42</v>
          </cell>
          <cell r="BI136">
            <v>-656823.29</v>
          </cell>
          <cell r="BJ136">
            <v>-727483.33</v>
          </cell>
          <cell r="BK136">
            <v>-987445.96</v>
          </cell>
          <cell r="BL136">
            <v>-1198922.3799999999</v>
          </cell>
          <cell r="BM136">
            <v>-1206056.68</v>
          </cell>
          <cell r="BN136">
            <v>-1002030.98</v>
          </cell>
          <cell r="BO136">
            <v>-928291.85</v>
          </cell>
          <cell r="BP136">
            <v>-834210.52</v>
          </cell>
          <cell r="BQ136">
            <v>-715446.95</v>
          </cell>
          <cell r="BR136">
            <v>-678948.45</v>
          </cell>
          <cell r="BS136">
            <v>-672993.03</v>
          </cell>
          <cell r="BT136">
            <v>-690986.28</v>
          </cell>
          <cell r="BU136">
            <v>-689084.13</v>
          </cell>
          <cell r="BV136">
            <v>-775406.97</v>
          </cell>
          <cell r="BW136">
            <v>-1058406.8500000001</v>
          </cell>
          <cell r="BX136">
            <v>-2113054.27</v>
          </cell>
          <cell r="BY136">
            <v>-2057696.28</v>
          </cell>
          <cell r="BZ136">
            <v>-1918402.13</v>
          </cell>
          <cell r="CA136">
            <v>-1444361.54</v>
          </cell>
          <cell r="CB136">
            <v>-1285441.3799999999</v>
          </cell>
          <cell r="CC136">
            <v>-1282825.82</v>
          </cell>
          <cell r="CD136">
            <v>-1174816.1299999999</v>
          </cell>
          <cell r="CE136">
            <v>-1166827.43</v>
          </cell>
          <cell r="CF136">
            <v>-1155548.96</v>
          </cell>
          <cell r="CG136">
            <v>-1233487.53</v>
          </cell>
          <cell r="CH136">
            <v>-1427128.08</v>
          </cell>
          <cell r="CI136">
            <v>-1822781.85</v>
          </cell>
          <cell r="CJ136">
            <v>-629572.49</v>
          </cell>
          <cell r="CK136">
            <v>-575422.13</v>
          </cell>
          <cell r="CL136">
            <v>-493924.82</v>
          </cell>
          <cell r="CM136">
            <v>-482308.89</v>
          </cell>
          <cell r="CN136">
            <v>-400065.18</v>
          </cell>
          <cell r="CO136">
            <v>-371791.02</v>
          </cell>
          <cell r="CP136">
            <v>-360971.6</v>
          </cell>
          <cell r="CQ136">
            <v>-325641.36</v>
          </cell>
          <cell r="CR136">
            <v>-347568.34</v>
          </cell>
          <cell r="CS136">
            <v>-339857.04</v>
          </cell>
          <cell r="CT136">
            <v>-392179.59</v>
          </cell>
          <cell r="CU136">
            <v>-512979.14</v>
          </cell>
          <cell r="CV136">
            <v>-543375.56000000006</v>
          </cell>
          <cell r="CW136">
            <v>-586569.39</v>
          </cell>
          <cell r="CX136">
            <v>-503055.91</v>
          </cell>
          <cell r="CY136">
            <v>-451733.47</v>
          </cell>
          <cell r="CZ136">
            <v>-418513.73</v>
          </cell>
          <cell r="DA136">
            <v>-363653.61</v>
          </cell>
          <cell r="DB136">
            <v>-333372.26</v>
          </cell>
          <cell r="DC136">
            <v>-321216.96000000002</v>
          </cell>
          <cell r="DD136">
            <v>-334017.89</v>
          </cell>
          <cell r="DE136">
            <v>-365550.1</v>
          </cell>
          <cell r="DF136">
            <v>-389787.47</v>
          </cell>
          <cell r="DG136">
            <v>-467159.65</v>
          </cell>
          <cell r="DH136">
            <v>-5078006</v>
          </cell>
        </row>
        <row r="137">
          <cell r="A137" t="str">
            <v>4950800</v>
          </cell>
          <cell r="B137" t="str">
            <v>4950800</v>
          </cell>
          <cell r="C137" t="str">
            <v>Other Rev Misc</v>
          </cell>
          <cell r="D137">
            <v>850.08</v>
          </cell>
          <cell r="E137">
            <v>907.42</v>
          </cell>
          <cell r="F137">
            <v>689.96</v>
          </cell>
          <cell r="G137">
            <v>588.42999999999995</v>
          </cell>
          <cell r="H137">
            <v>447.89</v>
          </cell>
          <cell r="I137">
            <v>410.82</v>
          </cell>
          <cell r="J137">
            <v>369.15</v>
          </cell>
          <cell r="K137">
            <v>319.33</v>
          </cell>
          <cell r="L137">
            <v>367.74</v>
          </cell>
          <cell r="M137">
            <v>359.94</v>
          </cell>
          <cell r="N137">
            <v>465.57</v>
          </cell>
          <cell r="O137">
            <v>704.92</v>
          </cell>
          <cell r="P137">
            <v>76463.360000000001</v>
          </cell>
          <cell r="Q137">
            <v>81758.59</v>
          </cell>
          <cell r="R137">
            <v>76079.78</v>
          </cell>
          <cell r="S137">
            <v>49752.95</v>
          </cell>
          <cell r="T137">
            <v>38054.49</v>
          </cell>
          <cell r="U137">
            <v>39233.199999999997</v>
          </cell>
          <cell r="V137">
            <v>33652.92</v>
          </cell>
          <cell r="W137">
            <v>32752.31</v>
          </cell>
          <cell r="X137">
            <v>32066.37</v>
          </cell>
          <cell r="Y137">
            <v>33531.78</v>
          </cell>
          <cell r="Z137">
            <v>38804.71</v>
          </cell>
          <cell r="AA137">
            <v>47690.89</v>
          </cell>
          <cell r="AB137">
            <v>80701</v>
          </cell>
          <cell r="AC137">
            <v>95618.7</v>
          </cell>
          <cell r="AD137">
            <v>76869.259999999995</v>
          </cell>
          <cell r="AE137">
            <v>61252.15</v>
          </cell>
          <cell r="AF137">
            <v>48586.48</v>
          </cell>
          <cell r="AG137">
            <v>40982.339999999997</v>
          </cell>
          <cell r="AH137">
            <v>36552</v>
          </cell>
          <cell r="AI137">
            <v>35366.720000000001</v>
          </cell>
          <cell r="AJ137">
            <v>37162.17</v>
          </cell>
          <cell r="AK137">
            <v>38171.839999999997</v>
          </cell>
          <cell r="AL137">
            <v>48038.75</v>
          </cell>
          <cell r="AM137">
            <v>62129.78</v>
          </cell>
          <cell r="AN137">
            <v>106427.26</v>
          </cell>
          <cell r="AO137">
            <v>101609.32</v>
          </cell>
          <cell r="AP137">
            <v>91036.04</v>
          </cell>
          <cell r="AQ137">
            <v>86411.25</v>
          </cell>
          <cell r="AR137">
            <v>70699.72</v>
          </cell>
          <cell r="AS137">
            <v>59485.55</v>
          </cell>
          <cell r="AT137">
            <v>52902.85</v>
          </cell>
          <cell r="AU137">
            <v>46315.95</v>
          </cell>
          <cell r="AV137">
            <v>58877.63</v>
          </cell>
          <cell r="AW137">
            <v>56469.47</v>
          </cell>
          <cell r="AX137">
            <v>71740.56</v>
          </cell>
          <cell r="AY137">
            <v>93282.51</v>
          </cell>
          <cell r="AZ137">
            <v>518506.66</v>
          </cell>
          <cell r="BA137">
            <v>433765.64</v>
          </cell>
          <cell r="BB137">
            <v>-322935.84000000003</v>
          </cell>
          <cell r="BC137">
            <v>-334636.59999999998</v>
          </cell>
          <cell r="BD137">
            <v>-243710.44</v>
          </cell>
          <cell r="BE137">
            <v>-217861.03</v>
          </cell>
          <cell r="BF137">
            <v>-186008.57</v>
          </cell>
          <cell r="BG137">
            <v>-171489.38</v>
          </cell>
          <cell r="BH137">
            <v>-194133.29</v>
          </cell>
          <cell r="BI137">
            <v>-178757.93</v>
          </cell>
          <cell r="BJ137">
            <v>-211297.75</v>
          </cell>
          <cell r="BK137">
            <v>-332110.27</v>
          </cell>
          <cell r="BL137">
            <v>259051.35</v>
          </cell>
          <cell r="BM137">
            <v>264675.61</v>
          </cell>
          <cell r="BN137">
            <v>196561.58</v>
          </cell>
          <cell r="BO137">
            <v>184483.61</v>
          </cell>
          <cell r="BP137">
            <v>151009.60999999999</v>
          </cell>
          <cell r="BQ137">
            <v>116952.12</v>
          </cell>
          <cell r="BR137">
            <v>113003.38</v>
          </cell>
          <cell r="BS137">
            <v>104871.1</v>
          </cell>
          <cell r="BT137">
            <v>115266.24000000001</v>
          </cell>
          <cell r="BU137">
            <v>113480.3</v>
          </cell>
          <cell r="BV137">
            <v>137270.09</v>
          </cell>
          <cell r="BW137">
            <v>218949.11</v>
          </cell>
          <cell r="BX137">
            <v>213602.64</v>
          </cell>
          <cell r="BY137">
            <v>211655.07</v>
          </cell>
          <cell r="BZ137">
            <v>190920.76</v>
          </cell>
          <cell r="CA137">
            <v>149770.93</v>
          </cell>
          <cell r="CB137">
            <v>132510.39999999999</v>
          </cell>
          <cell r="CC137">
            <v>122031.73</v>
          </cell>
          <cell r="CD137">
            <v>100923.32</v>
          </cell>
          <cell r="CE137">
            <v>99809.99</v>
          </cell>
          <cell r="CF137">
            <v>99690.33</v>
          </cell>
          <cell r="CG137">
            <v>106139.59</v>
          </cell>
          <cell r="CH137">
            <v>131534.54</v>
          </cell>
          <cell r="CI137">
            <v>185203.6</v>
          </cell>
          <cell r="CJ137">
            <v>188439.31</v>
          </cell>
          <cell r="CK137">
            <v>168016.97</v>
          </cell>
          <cell r="CL137">
            <v>136008.47</v>
          </cell>
          <cell r="CM137">
            <v>132306.51</v>
          </cell>
          <cell r="CN137">
            <v>98086.78</v>
          </cell>
          <cell r="CO137">
            <v>88657.85</v>
          </cell>
          <cell r="CP137">
            <v>81961.84</v>
          </cell>
          <cell r="CQ137">
            <v>75986.820000000007</v>
          </cell>
          <cell r="CR137">
            <v>82616.73</v>
          </cell>
          <cell r="CS137">
            <v>77483.39</v>
          </cell>
          <cell r="CT137">
            <v>98890.78</v>
          </cell>
          <cell r="CU137">
            <v>142992.5</v>
          </cell>
          <cell r="CV137">
            <v>-905940.04</v>
          </cell>
          <cell r="CW137">
            <v>-1045351.99</v>
          </cell>
          <cell r="CX137">
            <v>-809218.63</v>
          </cell>
          <cell r="CY137">
            <v>-703534.1</v>
          </cell>
          <cell r="CZ137">
            <v>-599602.68000000005</v>
          </cell>
          <cell r="DA137">
            <v>-501292.94</v>
          </cell>
          <cell r="DB137">
            <v>-399550.07</v>
          </cell>
          <cell r="DC137">
            <v>-405527.1</v>
          </cell>
          <cell r="DD137">
            <v>-429176.88</v>
          </cell>
          <cell r="DE137">
            <v>-514318.59</v>
          </cell>
          <cell r="DF137">
            <v>-566929.51</v>
          </cell>
          <cell r="DG137">
            <v>-725053.82</v>
          </cell>
          <cell r="DH137">
            <v>-7605496.3500000006</v>
          </cell>
        </row>
        <row r="138">
          <cell r="A138" t="str">
            <v>6010110</v>
          </cell>
          <cell r="B138" t="str">
            <v>6010110</v>
          </cell>
          <cell r="C138" t="str">
            <v>Labor Exempt ST</v>
          </cell>
          <cell r="D138">
            <v>922381.8</v>
          </cell>
          <cell r="E138">
            <v>789256.89</v>
          </cell>
          <cell r="F138">
            <v>834416.08</v>
          </cell>
          <cell r="G138">
            <v>891112.01</v>
          </cell>
          <cell r="H138">
            <v>891516.49</v>
          </cell>
          <cell r="I138">
            <v>854123.33</v>
          </cell>
          <cell r="J138">
            <v>941395.4</v>
          </cell>
          <cell r="K138">
            <v>865323.94</v>
          </cell>
          <cell r="L138">
            <v>905049.4</v>
          </cell>
          <cell r="M138">
            <v>934779.64</v>
          </cell>
          <cell r="N138">
            <v>810985.89</v>
          </cell>
          <cell r="O138">
            <v>914117.8</v>
          </cell>
          <cell r="P138">
            <v>634599.17000000004</v>
          </cell>
          <cell r="Q138">
            <v>728407.32</v>
          </cell>
          <cell r="R138">
            <v>787896.81</v>
          </cell>
          <cell r="S138">
            <v>740086.13</v>
          </cell>
          <cell r="T138">
            <v>730614.88</v>
          </cell>
          <cell r="U138">
            <v>754653.2</v>
          </cell>
          <cell r="V138">
            <v>780220.84</v>
          </cell>
          <cell r="W138">
            <v>762047</v>
          </cell>
          <cell r="X138">
            <v>746603.15</v>
          </cell>
          <cell r="Y138">
            <v>821851.87</v>
          </cell>
          <cell r="Z138">
            <v>754576.25</v>
          </cell>
          <cell r="AA138">
            <v>737184.5</v>
          </cell>
          <cell r="AB138">
            <v>621780.4</v>
          </cell>
          <cell r="AC138">
            <v>859480.43</v>
          </cell>
          <cell r="AD138">
            <v>836058.86</v>
          </cell>
          <cell r="AE138">
            <v>871061.06</v>
          </cell>
          <cell r="AF138">
            <v>919151.26</v>
          </cell>
          <cell r="AG138">
            <v>875936.88</v>
          </cell>
          <cell r="AH138">
            <v>792813.15</v>
          </cell>
          <cell r="AI138">
            <v>981860.53</v>
          </cell>
          <cell r="AJ138">
            <v>914137.33</v>
          </cell>
          <cell r="AK138">
            <v>929194.71</v>
          </cell>
          <cell r="AL138">
            <v>934239.41</v>
          </cell>
          <cell r="AM138">
            <v>788816.7</v>
          </cell>
          <cell r="AN138">
            <v>759800.71</v>
          </cell>
          <cell r="AO138">
            <v>987078.67</v>
          </cell>
          <cell r="AP138">
            <v>949953.48</v>
          </cell>
          <cell r="AQ138">
            <v>815520.58</v>
          </cell>
          <cell r="AR138">
            <v>1034986.28</v>
          </cell>
          <cell r="AS138">
            <v>886790.67</v>
          </cell>
          <cell r="AT138">
            <v>813518.22</v>
          </cell>
          <cell r="AU138">
            <v>1123611.1100000001</v>
          </cell>
          <cell r="AV138">
            <v>940510.94</v>
          </cell>
          <cell r="AW138">
            <v>1017789.6</v>
          </cell>
          <cell r="AX138">
            <v>1040163.72</v>
          </cell>
          <cell r="AY138">
            <v>801824.78</v>
          </cell>
          <cell r="AZ138">
            <v>865242.9</v>
          </cell>
          <cell r="BA138">
            <v>1087237.47</v>
          </cell>
          <cell r="BB138">
            <v>1137427.03</v>
          </cell>
          <cell r="BC138">
            <v>1029606.63</v>
          </cell>
          <cell r="BD138">
            <v>1175485.46</v>
          </cell>
          <cell r="BE138">
            <v>1057346.23</v>
          </cell>
          <cell r="BF138">
            <v>915589.21</v>
          </cell>
          <cell r="BG138">
            <v>1309299.93</v>
          </cell>
          <cell r="BH138">
            <v>1040041.05</v>
          </cell>
          <cell r="BI138">
            <v>1303461.42</v>
          </cell>
          <cell r="BJ138">
            <v>1231475.6599999999</v>
          </cell>
          <cell r="BK138">
            <v>971858.05</v>
          </cell>
          <cell r="BL138">
            <v>1077862.28</v>
          </cell>
          <cell r="BM138">
            <v>1198380.17</v>
          </cell>
          <cell r="BN138">
            <v>1271118.74</v>
          </cell>
          <cell r="BO138">
            <v>1244372.0900000001</v>
          </cell>
          <cell r="BP138">
            <v>1445146.89</v>
          </cell>
          <cell r="BQ138">
            <v>1163309.45</v>
          </cell>
          <cell r="BR138">
            <v>1228498.1200000001</v>
          </cell>
          <cell r="BS138">
            <v>1489243.76</v>
          </cell>
          <cell r="BT138">
            <v>1264146.6000000001</v>
          </cell>
          <cell r="BU138">
            <v>1455659.85</v>
          </cell>
          <cell r="BV138">
            <v>1318390.69</v>
          </cell>
          <cell r="BW138">
            <v>1196952.6200000001</v>
          </cell>
          <cell r="BX138">
            <v>1132654.26</v>
          </cell>
          <cell r="BY138">
            <v>1386931.12</v>
          </cell>
          <cell r="BZ138">
            <v>1621704.32</v>
          </cell>
          <cell r="CA138">
            <v>1525713.18</v>
          </cell>
          <cell r="CB138">
            <v>1633269.94</v>
          </cell>
          <cell r="CC138">
            <v>1541621.05</v>
          </cell>
          <cell r="CD138">
            <v>1572054.58</v>
          </cell>
          <cell r="CE138">
            <v>1525869.13</v>
          </cell>
          <cell r="CF138">
            <v>1513112.97</v>
          </cell>
          <cell r="CG138">
            <v>1662117.36</v>
          </cell>
          <cell r="CH138">
            <v>1492336.18</v>
          </cell>
          <cell r="CI138">
            <v>1038505.13</v>
          </cell>
          <cell r="CJ138">
            <v>1436703.09</v>
          </cell>
          <cell r="CK138">
            <v>1612147.66</v>
          </cell>
          <cell r="CL138">
            <v>1763909.31</v>
          </cell>
          <cell r="CM138">
            <v>1601465.38</v>
          </cell>
          <cell r="CN138">
            <v>1591803.42</v>
          </cell>
          <cell r="CO138">
            <v>1459385.32</v>
          </cell>
          <cell r="CP138">
            <v>1624154.63</v>
          </cell>
          <cell r="CQ138">
            <v>1644629.2</v>
          </cell>
          <cell r="CR138">
            <v>1540948.53</v>
          </cell>
          <cell r="CS138">
            <v>1670384.89</v>
          </cell>
          <cell r="CT138">
            <v>1779606.39</v>
          </cell>
          <cell r="CU138">
            <v>1153937.6200000001</v>
          </cell>
          <cell r="CV138">
            <v>1588983.53</v>
          </cell>
          <cell r="CW138">
            <v>1821319.06</v>
          </cell>
          <cell r="CX138">
            <v>2015369.95</v>
          </cell>
          <cell r="CY138">
            <v>1790731.16</v>
          </cell>
          <cell r="CZ138">
            <v>2046600.53</v>
          </cell>
          <cell r="DA138">
            <v>2006365.86</v>
          </cell>
          <cell r="DB138">
            <v>1912100.95</v>
          </cell>
          <cell r="DC138">
            <v>2279333.61</v>
          </cell>
          <cell r="DD138">
            <v>2088512.32</v>
          </cell>
          <cell r="DE138">
            <v>2359182.7400000002</v>
          </cell>
          <cell r="DF138">
            <v>2249088.0099999998</v>
          </cell>
          <cell r="DG138">
            <v>1606887.51</v>
          </cell>
          <cell r="DH138">
            <v>23764475.23</v>
          </cell>
        </row>
        <row r="139">
          <cell r="A139" t="str">
            <v>6010120</v>
          </cell>
          <cell r="B139" t="str">
            <v>6010120</v>
          </cell>
          <cell r="C139" t="str">
            <v>Labor Exempt OT</v>
          </cell>
          <cell r="U139">
            <v>1973.66</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33551.03</v>
          </cell>
          <cell r="AW139">
            <v>-8582.57</v>
          </cell>
          <cell r="AX139">
            <v>0</v>
          </cell>
          <cell r="AY139">
            <v>0</v>
          </cell>
          <cell r="AZ139">
            <v>0</v>
          </cell>
          <cell r="BA139">
            <v>0</v>
          </cell>
          <cell r="BB139">
            <v>0</v>
          </cell>
          <cell r="BC139">
            <v>0</v>
          </cell>
          <cell r="BD139">
            <v>0</v>
          </cell>
          <cell r="BE139">
            <v>0</v>
          </cell>
          <cell r="BF139">
            <v>0</v>
          </cell>
          <cell r="BG139">
            <v>0</v>
          </cell>
          <cell r="BH139">
            <v>0</v>
          </cell>
          <cell r="BI139">
            <v>103781.35</v>
          </cell>
          <cell r="BJ139">
            <v>9539.5300000000007</v>
          </cell>
          <cell r="BK139">
            <v>1165.8499999999999</v>
          </cell>
          <cell r="BL139">
            <v>-273.43</v>
          </cell>
          <cell r="BM139">
            <v>0</v>
          </cell>
          <cell r="BN139">
            <v>0</v>
          </cell>
          <cell r="BO139">
            <v>0</v>
          </cell>
          <cell r="BP139">
            <v>0</v>
          </cell>
          <cell r="BQ139">
            <v>0</v>
          </cell>
          <cell r="BR139">
            <v>0</v>
          </cell>
          <cell r="BS139">
            <v>0</v>
          </cell>
          <cell r="BT139">
            <v>0</v>
          </cell>
          <cell r="BU139">
            <v>318.06</v>
          </cell>
          <cell r="BV139">
            <v>-318.06</v>
          </cell>
          <cell r="BW139">
            <v>0</v>
          </cell>
          <cell r="BX139">
            <v>0</v>
          </cell>
          <cell r="BY139">
            <v>152.15</v>
          </cell>
          <cell r="BZ139">
            <v>-152.15</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218.63</v>
          </cell>
          <cell r="CQ139">
            <v>-218.63</v>
          </cell>
          <cell r="CR139">
            <v>0</v>
          </cell>
          <cell r="CS139">
            <v>260.14999999999998</v>
          </cell>
          <cell r="CT139">
            <v>-260.14999999999998</v>
          </cell>
          <cell r="CU139">
            <v>0</v>
          </cell>
          <cell r="CV139">
            <v>0</v>
          </cell>
          <cell r="CW139">
            <v>0</v>
          </cell>
          <cell r="CX139">
            <v>0</v>
          </cell>
          <cell r="CY139">
            <v>0</v>
          </cell>
          <cell r="CZ139">
            <v>0</v>
          </cell>
          <cell r="DA139">
            <v>0</v>
          </cell>
          <cell r="DB139">
            <v>0</v>
          </cell>
          <cell r="DC139">
            <v>0</v>
          </cell>
          <cell r="DD139">
            <v>0</v>
          </cell>
          <cell r="DE139">
            <v>61045.81</v>
          </cell>
          <cell r="DF139">
            <v>-2877.51</v>
          </cell>
          <cell r="DG139">
            <v>0</v>
          </cell>
          <cell r="DH139">
            <v>58168.299999999996</v>
          </cell>
        </row>
        <row r="140">
          <cell r="A140" t="str">
            <v>6010130</v>
          </cell>
          <cell r="B140" t="str">
            <v>6010130</v>
          </cell>
          <cell r="C140" t="str">
            <v>Labor Exempt NonProd</v>
          </cell>
          <cell r="D140">
            <v>5902.86</v>
          </cell>
          <cell r="E140">
            <v>1793.16</v>
          </cell>
          <cell r="F140">
            <v>458.48</v>
          </cell>
          <cell r="G140">
            <v>458.48</v>
          </cell>
          <cell r="H140">
            <v>458.48</v>
          </cell>
          <cell r="I140">
            <v>458.48</v>
          </cell>
          <cell r="J140">
            <v>458.48</v>
          </cell>
          <cell r="K140">
            <v>458.48</v>
          </cell>
          <cell r="L140">
            <v>1248.81</v>
          </cell>
          <cell r="M140">
            <v>395.96</v>
          </cell>
          <cell r="N140">
            <v>16888.5</v>
          </cell>
          <cell r="O140">
            <v>12786.48</v>
          </cell>
          <cell r="P140">
            <v>186255.66</v>
          </cell>
          <cell r="Q140">
            <v>39629.07</v>
          </cell>
          <cell r="R140">
            <v>55713.43</v>
          </cell>
          <cell r="S140">
            <v>83501.570000000007</v>
          </cell>
          <cell r="T140">
            <v>60498.239999999998</v>
          </cell>
          <cell r="U140">
            <v>86779.71</v>
          </cell>
          <cell r="V140">
            <v>103871.74</v>
          </cell>
          <cell r="W140">
            <v>64950.87</v>
          </cell>
          <cell r="X140">
            <v>130526.33</v>
          </cell>
          <cell r="Y140">
            <v>65580.86</v>
          </cell>
          <cell r="Z140">
            <v>82394.37</v>
          </cell>
          <cell r="AA140">
            <v>191317.1</v>
          </cell>
          <cell r="AB140">
            <v>271228.43</v>
          </cell>
          <cell r="AC140">
            <v>50353.84</v>
          </cell>
          <cell r="AD140">
            <v>152343</v>
          </cell>
          <cell r="AE140">
            <v>46835.02</v>
          </cell>
          <cell r="AF140">
            <v>74582.83</v>
          </cell>
          <cell r="AG140">
            <v>112325.12</v>
          </cell>
          <cell r="AH140">
            <v>164302.32999999999</v>
          </cell>
          <cell r="AI140">
            <v>89260.14</v>
          </cell>
          <cell r="AJ140">
            <v>127780.57</v>
          </cell>
          <cell r="AK140">
            <v>82518.179999999993</v>
          </cell>
          <cell r="AL140">
            <v>126312.53</v>
          </cell>
          <cell r="AM140">
            <v>256942.81</v>
          </cell>
          <cell r="AN140">
            <v>332084.5</v>
          </cell>
          <cell r="AO140">
            <v>9365.33</v>
          </cell>
          <cell r="AP140">
            <v>115903.28</v>
          </cell>
          <cell r="AQ140">
            <v>162348.45000000001</v>
          </cell>
          <cell r="AR140">
            <v>59643.79</v>
          </cell>
          <cell r="AS140">
            <v>185502</v>
          </cell>
          <cell r="AT140">
            <v>231046.03</v>
          </cell>
          <cell r="AU140">
            <v>58712.34</v>
          </cell>
          <cell r="AV140">
            <v>141185.56</v>
          </cell>
          <cell r="AW140">
            <v>118248.99</v>
          </cell>
          <cell r="AX140">
            <v>99558.26</v>
          </cell>
          <cell r="AY140">
            <v>288296.78000000003</v>
          </cell>
          <cell r="AZ140">
            <v>393723.7</v>
          </cell>
          <cell r="BA140">
            <v>-6381.83</v>
          </cell>
          <cell r="BB140">
            <v>95758.93</v>
          </cell>
          <cell r="BC140">
            <v>135119.38</v>
          </cell>
          <cell r="BD140">
            <v>102420.52</v>
          </cell>
          <cell r="BE140">
            <v>134993.32</v>
          </cell>
          <cell r="BF140">
            <v>346587.58</v>
          </cell>
          <cell r="BG140">
            <v>72911.17</v>
          </cell>
          <cell r="BH140">
            <v>162326.12</v>
          </cell>
          <cell r="BI140">
            <v>133782.94</v>
          </cell>
          <cell r="BJ140">
            <v>139583.07</v>
          </cell>
          <cell r="BK140">
            <v>358401.05</v>
          </cell>
          <cell r="BL140">
            <v>389635.72</v>
          </cell>
          <cell r="BM140">
            <v>114609.27</v>
          </cell>
          <cell r="BN140">
            <v>137729.35999999999</v>
          </cell>
          <cell r="BO140">
            <v>214852.6</v>
          </cell>
          <cell r="BP140">
            <v>68650.960000000006</v>
          </cell>
          <cell r="BQ140">
            <v>175363.79</v>
          </cell>
          <cell r="BR140">
            <v>368632.19</v>
          </cell>
          <cell r="BS140">
            <v>22448.65</v>
          </cell>
          <cell r="BT140">
            <v>179954.09</v>
          </cell>
          <cell r="BU140">
            <v>154229.1</v>
          </cell>
          <cell r="BV140">
            <v>172506.91</v>
          </cell>
          <cell r="BW140">
            <v>384828.05</v>
          </cell>
          <cell r="BX140">
            <v>554308.97</v>
          </cell>
          <cell r="BY140">
            <v>54386.879999999997</v>
          </cell>
          <cell r="BZ140">
            <v>138951.54999999999</v>
          </cell>
          <cell r="CA140">
            <v>147968.39000000001</v>
          </cell>
          <cell r="CB140">
            <v>3915.85</v>
          </cell>
          <cell r="CC140">
            <v>168248.54</v>
          </cell>
          <cell r="CD140">
            <v>260055.27</v>
          </cell>
          <cell r="CE140">
            <v>135422.18</v>
          </cell>
          <cell r="CF140">
            <v>238289.22</v>
          </cell>
          <cell r="CG140">
            <v>93667.3</v>
          </cell>
          <cell r="CH140">
            <v>224771.85</v>
          </cell>
          <cell r="CI140">
            <v>834690.3</v>
          </cell>
          <cell r="CJ140">
            <v>321283.25</v>
          </cell>
          <cell r="CK140">
            <v>36287.53</v>
          </cell>
          <cell r="CL140">
            <v>153489.10999999999</v>
          </cell>
          <cell r="CM140">
            <v>213005.33</v>
          </cell>
          <cell r="CN140">
            <v>133293.85</v>
          </cell>
          <cell r="CO140">
            <v>356674.21</v>
          </cell>
          <cell r="CP140">
            <v>155135.82999999999</v>
          </cell>
          <cell r="CQ140">
            <v>150334.51999999999</v>
          </cell>
          <cell r="CR140">
            <v>299949.05</v>
          </cell>
          <cell r="CS140">
            <v>114971.74</v>
          </cell>
          <cell r="CT140">
            <v>187691.19</v>
          </cell>
          <cell r="CU140">
            <v>942253.22</v>
          </cell>
          <cell r="CV140">
            <v>342688.53</v>
          </cell>
          <cell r="CW140">
            <v>68741.539999999994</v>
          </cell>
          <cell r="CX140">
            <v>184787.27</v>
          </cell>
          <cell r="CY140">
            <v>259156.96</v>
          </cell>
          <cell r="CZ140">
            <v>138052.07999999999</v>
          </cell>
          <cell r="DA140">
            <v>271219.58</v>
          </cell>
          <cell r="DB140">
            <v>292210.03000000003</v>
          </cell>
          <cell r="DC140">
            <v>167750.56</v>
          </cell>
          <cell r="DD140">
            <v>366884.09</v>
          </cell>
          <cell r="DE140">
            <v>40543.06</v>
          </cell>
          <cell r="DF140">
            <v>221379.73</v>
          </cell>
          <cell r="DG140">
            <v>955772.48</v>
          </cell>
          <cell r="DH140">
            <v>3309185.91</v>
          </cell>
        </row>
        <row r="141">
          <cell r="A141" t="str">
            <v>6010210</v>
          </cell>
          <cell r="B141" t="str">
            <v>6010210</v>
          </cell>
          <cell r="C141" t="str">
            <v>Labor NonExm ST</v>
          </cell>
          <cell r="D141">
            <v>1151537.71</v>
          </cell>
          <cell r="E141">
            <v>1022510.12</v>
          </cell>
          <cell r="F141">
            <v>1138012.3600000001</v>
          </cell>
          <cell r="G141">
            <v>1102489.55</v>
          </cell>
          <cell r="H141">
            <v>1121136.08</v>
          </cell>
          <cell r="I141">
            <v>1083663.54</v>
          </cell>
          <cell r="J141">
            <v>1129768.3700000001</v>
          </cell>
          <cell r="K141">
            <v>1118670.1000000001</v>
          </cell>
          <cell r="L141">
            <v>1089405.8600000001</v>
          </cell>
          <cell r="M141">
            <v>1131349.46</v>
          </cell>
          <cell r="N141">
            <v>1090782.52</v>
          </cell>
          <cell r="O141">
            <v>1133155.25</v>
          </cell>
          <cell r="P141">
            <v>827238.27</v>
          </cell>
          <cell r="Q141">
            <v>937908.92</v>
          </cell>
          <cell r="R141">
            <v>1025182.56</v>
          </cell>
          <cell r="S141">
            <v>976806.84</v>
          </cell>
          <cell r="T141">
            <v>1041048.26</v>
          </cell>
          <cell r="U141">
            <v>944055.86</v>
          </cell>
          <cell r="V141">
            <v>959129</v>
          </cell>
          <cell r="W141">
            <v>1013207.78</v>
          </cell>
          <cell r="X141">
            <v>919642.79</v>
          </cell>
          <cell r="Y141">
            <v>1075549.8600000001</v>
          </cell>
          <cell r="Z141">
            <v>998181.57</v>
          </cell>
          <cell r="AA141">
            <v>911161.31</v>
          </cell>
          <cell r="AB141">
            <v>899530.15</v>
          </cell>
          <cell r="AC141">
            <v>990391.36</v>
          </cell>
          <cell r="AD141">
            <v>940379.46</v>
          </cell>
          <cell r="AE141">
            <v>1028980.32</v>
          </cell>
          <cell r="AF141">
            <v>1050227.47</v>
          </cell>
          <cell r="AG141">
            <v>964991.62</v>
          </cell>
          <cell r="AH141">
            <v>941331.25</v>
          </cell>
          <cell r="AI141">
            <v>921244</v>
          </cell>
          <cell r="AJ141">
            <v>933516.82</v>
          </cell>
          <cell r="AK141">
            <v>1004022.98</v>
          </cell>
          <cell r="AL141">
            <v>987748.21</v>
          </cell>
          <cell r="AM141">
            <v>921290.25</v>
          </cell>
          <cell r="AN141">
            <v>831087.45</v>
          </cell>
          <cell r="AO141">
            <v>1057660.1399999999</v>
          </cell>
          <cell r="AP141">
            <v>1063996</v>
          </cell>
          <cell r="AQ141">
            <v>930996.09</v>
          </cell>
          <cell r="AR141">
            <v>1093891.99</v>
          </cell>
          <cell r="AS141">
            <v>990273.85</v>
          </cell>
          <cell r="AT141">
            <v>907495.37</v>
          </cell>
          <cell r="AU141">
            <v>1155452.6599999999</v>
          </cell>
          <cell r="AV141">
            <v>1023482.86</v>
          </cell>
          <cell r="AW141">
            <v>1077142.8500000001</v>
          </cell>
          <cell r="AX141">
            <v>1068910.31</v>
          </cell>
          <cell r="AY141">
            <v>942555.16</v>
          </cell>
          <cell r="AZ141">
            <v>868135.79</v>
          </cell>
          <cell r="BA141">
            <v>1113198.1299999999</v>
          </cell>
          <cell r="BB141">
            <v>1110402.68</v>
          </cell>
          <cell r="BC141">
            <v>1071425.1100000001</v>
          </cell>
          <cell r="BD141">
            <v>1190776.44</v>
          </cell>
          <cell r="BE141">
            <v>1008622.11</v>
          </cell>
          <cell r="BF141">
            <v>960666.95</v>
          </cell>
          <cell r="BG141">
            <v>1255197.99</v>
          </cell>
          <cell r="BH141">
            <v>1042788.89</v>
          </cell>
          <cell r="BI141">
            <v>1224030.77</v>
          </cell>
          <cell r="BJ141">
            <v>1142451.56</v>
          </cell>
          <cell r="BK141">
            <v>984569.86</v>
          </cell>
          <cell r="BL141">
            <v>992107.63</v>
          </cell>
          <cell r="BM141">
            <v>1073381.95</v>
          </cell>
          <cell r="BN141">
            <v>1103278.94</v>
          </cell>
          <cell r="BO141">
            <v>1054808.6200000001</v>
          </cell>
          <cell r="BP141">
            <v>1245706.44</v>
          </cell>
          <cell r="BQ141">
            <v>1018040.29</v>
          </cell>
          <cell r="BR141">
            <v>1041969.06</v>
          </cell>
          <cell r="BS141">
            <v>1272648.47</v>
          </cell>
          <cell r="BT141">
            <v>1077909.3899999999</v>
          </cell>
          <cell r="BU141">
            <v>1180548.46</v>
          </cell>
          <cell r="BV141">
            <v>1140638.92</v>
          </cell>
          <cell r="BW141">
            <v>1024196.22</v>
          </cell>
          <cell r="BX141">
            <v>938170.85</v>
          </cell>
          <cell r="BY141">
            <v>1125947.3500000001</v>
          </cell>
          <cell r="BZ141">
            <v>1361190.57</v>
          </cell>
          <cell r="CA141">
            <v>1238942.26</v>
          </cell>
          <cell r="CB141">
            <v>1359602.65</v>
          </cell>
          <cell r="CC141">
            <v>1205118.1399999999</v>
          </cell>
          <cell r="CD141">
            <v>1235632.3600000001</v>
          </cell>
          <cell r="CE141">
            <v>1260207.8</v>
          </cell>
          <cell r="CF141">
            <v>1154111.8600000001</v>
          </cell>
          <cell r="CG141">
            <v>1344075.28</v>
          </cell>
          <cell r="CH141">
            <v>1214229.3799999999</v>
          </cell>
          <cell r="CI141">
            <v>1134186.29</v>
          </cell>
          <cell r="CJ141">
            <v>1253804.3700000001</v>
          </cell>
          <cell r="CK141">
            <v>1328990.52</v>
          </cell>
          <cell r="CL141">
            <v>1407349.56</v>
          </cell>
          <cell r="CM141">
            <v>1348841.1</v>
          </cell>
          <cell r="CN141">
            <v>1323475.73</v>
          </cell>
          <cell r="CO141">
            <v>1215005.98</v>
          </cell>
          <cell r="CP141">
            <v>1428457.14</v>
          </cell>
          <cell r="CQ141">
            <v>1392481.36</v>
          </cell>
          <cell r="CR141">
            <v>1300427.45</v>
          </cell>
          <cell r="CS141">
            <v>1384848.55</v>
          </cell>
          <cell r="CT141">
            <v>1422657.95</v>
          </cell>
          <cell r="CU141">
            <v>1005477.9</v>
          </cell>
          <cell r="CV141">
            <v>1221149.01</v>
          </cell>
          <cell r="CW141">
            <v>1372061.14</v>
          </cell>
          <cell r="CX141">
            <v>1423819.81</v>
          </cell>
          <cell r="CY141">
            <v>1213576.81</v>
          </cell>
          <cell r="CZ141">
            <v>1541252.05</v>
          </cell>
          <cell r="DA141">
            <v>1445643.57</v>
          </cell>
          <cell r="DB141">
            <v>1374160.78</v>
          </cell>
          <cell r="DC141">
            <v>1593016.97</v>
          </cell>
          <cell r="DD141">
            <v>1418144.11</v>
          </cell>
          <cell r="DE141">
            <v>1602530.46</v>
          </cell>
          <cell r="DF141">
            <v>1571787.17</v>
          </cell>
          <cell r="DG141">
            <v>1144523.69</v>
          </cell>
          <cell r="DH141">
            <v>16921665.57</v>
          </cell>
        </row>
        <row r="142">
          <cell r="A142" t="str">
            <v>6010220</v>
          </cell>
          <cell r="B142" t="str">
            <v>6010220</v>
          </cell>
          <cell r="C142" t="str">
            <v>Labor NonExm OT</v>
          </cell>
          <cell r="D142">
            <v>150648.18</v>
          </cell>
          <cell r="E142">
            <v>129272.97</v>
          </cell>
          <cell r="F142">
            <v>157589.79999999999</v>
          </cell>
          <cell r="G142">
            <v>161151.72</v>
          </cell>
          <cell r="H142">
            <v>169093.6</v>
          </cell>
          <cell r="I142">
            <v>149056.32000000001</v>
          </cell>
          <cell r="J142">
            <v>148537.16</v>
          </cell>
          <cell r="K142">
            <v>200617.56</v>
          </cell>
          <cell r="L142">
            <v>161494.76</v>
          </cell>
          <cell r="M142">
            <v>166559.66</v>
          </cell>
          <cell r="N142">
            <v>155664.94</v>
          </cell>
          <cell r="O142">
            <v>163289.99</v>
          </cell>
          <cell r="P142">
            <v>119900.14</v>
          </cell>
          <cell r="Q142">
            <v>158827.17000000001</v>
          </cell>
          <cell r="R142">
            <v>171688.57</v>
          </cell>
          <cell r="S142">
            <v>159385.74</v>
          </cell>
          <cell r="T142">
            <v>172032.31</v>
          </cell>
          <cell r="U142">
            <v>164256.35</v>
          </cell>
          <cell r="V142">
            <v>169097.8</v>
          </cell>
          <cell r="W142">
            <v>202915.4</v>
          </cell>
          <cell r="X142">
            <v>203163.66</v>
          </cell>
          <cell r="Y142">
            <v>222049.9</v>
          </cell>
          <cell r="Z142">
            <v>211397.81</v>
          </cell>
          <cell r="AA142">
            <v>240111.47</v>
          </cell>
          <cell r="AB142">
            <v>177674.77</v>
          </cell>
          <cell r="AC142">
            <v>214155.93</v>
          </cell>
          <cell r="AD142">
            <v>189036.49</v>
          </cell>
          <cell r="AE142">
            <v>188030.69</v>
          </cell>
          <cell r="AF142">
            <v>211451.29</v>
          </cell>
          <cell r="AG142">
            <v>200207.59</v>
          </cell>
          <cell r="AH142">
            <v>196426.18</v>
          </cell>
          <cell r="AI142">
            <v>190419.6</v>
          </cell>
          <cell r="AJ142">
            <v>199621.39</v>
          </cell>
          <cell r="AK142">
            <v>235278.6</v>
          </cell>
          <cell r="AL142">
            <v>234818.45</v>
          </cell>
          <cell r="AM142">
            <v>254028.12</v>
          </cell>
          <cell r="AN142">
            <v>221819.17</v>
          </cell>
          <cell r="AO142">
            <v>211113.62</v>
          </cell>
          <cell r="AP142">
            <v>189305.57</v>
          </cell>
          <cell r="AQ142">
            <v>209263.82</v>
          </cell>
          <cell r="AR142">
            <v>201884.43</v>
          </cell>
          <cell r="AS142">
            <v>188808.36</v>
          </cell>
          <cell r="AT142">
            <v>223339.94</v>
          </cell>
          <cell r="AU142">
            <v>214316.75</v>
          </cell>
          <cell r="AV142">
            <v>238915.07</v>
          </cell>
          <cell r="AW142">
            <v>197436.68</v>
          </cell>
          <cell r="AX142">
            <v>270581.43</v>
          </cell>
          <cell r="AY142">
            <v>237378.26</v>
          </cell>
          <cell r="AZ142">
            <v>278112.52</v>
          </cell>
          <cell r="BA142">
            <v>170314.6</v>
          </cell>
          <cell r="BB142">
            <v>184128.69</v>
          </cell>
          <cell r="BC142">
            <v>218140.63</v>
          </cell>
          <cell r="BD142">
            <v>216633.74</v>
          </cell>
          <cell r="BE142">
            <v>213964.15</v>
          </cell>
          <cell r="BF142">
            <v>176217.31</v>
          </cell>
          <cell r="BG142">
            <v>214055.4</v>
          </cell>
          <cell r="BH142">
            <v>221961.91</v>
          </cell>
          <cell r="BI142">
            <v>509497.82</v>
          </cell>
          <cell r="BJ142">
            <v>200815.3</v>
          </cell>
          <cell r="BK142">
            <v>235200.37</v>
          </cell>
          <cell r="BL142">
            <v>239844.84</v>
          </cell>
          <cell r="BM142">
            <v>230188.21</v>
          </cell>
          <cell r="BN142">
            <v>230843.82</v>
          </cell>
          <cell r="BO142">
            <v>232026.15</v>
          </cell>
          <cell r="BP142">
            <v>231142.48</v>
          </cell>
          <cell r="BQ142">
            <v>186333.02</v>
          </cell>
          <cell r="BR142">
            <v>247396.95</v>
          </cell>
          <cell r="BS142">
            <v>291940.89</v>
          </cell>
          <cell r="BT142">
            <v>245033.16</v>
          </cell>
          <cell r="BU142">
            <v>270051.49</v>
          </cell>
          <cell r="BV142">
            <v>264866.13</v>
          </cell>
          <cell r="BW142">
            <v>320264.68</v>
          </cell>
          <cell r="BX142">
            <v>215596.11</v>
          </cell>
          <cell r="BY142">
            <v>232066.22</v>
          </cell>
          <cell r="BZ142">
            <v>266535.67</v>
          </cell>
          <cell r="CA142">
            <v>122396.91</v>
          </cell>
          <cell r="CB142">
            <v>156724.6</v>
          </cell>
          <cell r="CC142">
            <v>175535.53</v>
          </cell>
          <cell r="CD142">
            <v>178589.99</v>
          </cell>
          <cell r="CE142">
            <v>185946.02</v>
          </cell>
          <cell r="CF142">
            <v>206373.07</v>
          </cell>
          <cell r="CG142">
            <v>195606.63</v>
          </cell>
          <cell r="CH142">
            <v>241089.82</v>
          </cell>
          <cell r="CI142">
            <v>291314.99</v>
          </cell>
          <cell r="CJ142">
            <v>263114.08</v>
          </cell>
          <cell r="CK142">
            <v>239077.89</v>
          </cell>
          <cell r="CL142">
            <v>336763.62</v>
          </cell>
          <cell r="CM142">
            <v>259953.68</v>
          </cell>
          <cell r="CN142">
            <v>278330.96000000002</v>
          </cell>
          <cell r="CO142">
            <v>212017.66</v>
          </cell>
          <cell r="CP142">
            <v>319008.81</v>
          </cell>
          <cell r="CQ142">
            <v>257775.88</v>
          </cell>
          <cell r="CR142">
            <v>277011.74</v>
          </cell>
          <cell r="CS142">
            <v>312950.76</v>
          </cell>
          <cell r="CT142">
            <v>295578.95</v>
          </cell>
          <cell r="CU142">
            <v>301781.98</v>
          </cell>
          <cell r="CV142">
            <v>303279.06</v>
          </cell>
          <cell r="CW142">
            <v>320562.01</v>
          </cell>
          <cell r="CX142">
            <v>291699.44</v>
          </cell>
          <cell r="CY142">
            <v>295877.49</v>
          </cell>
          <cell r="CZ142">
            <v>325612.19</v>
          </cell>
          <cell r="DA142">
            <v>369621.35</v>
          </cell>
          <cell r="DB142">
            <v>319281.71999999997</v>
          </cell>
          <cell r="DC142">
            <v>389934.46</v>
          </cell>
          <cell r="DD142">
            <v>328290.03000000003</v>
          </cell>
          <cell r="DE142">
            <v>534107.86</v>
          </cell>
          <cell r="DF142">
            <v>288837.77</v>
          </cell>
          <cell r="DG142">
            <v>352997.78</v>
          </cell>
          <cell r="DH142">
            <v>4120101.16</v>
          </cell>
        </row>
        <row r="143">
          <cell r="A143" t="str">
            <v>6010230</v>
          </cell>
          <cell r="B143" t="str">
            <v>6010230</v>
          </cell>
          <cell r="C143" t="str">
            <v>Labor NonExm NonProd</v>
          </cell>
          <cell r="D143">
            <v>1167.04</v>
          </cell>
          <cell r="E143">
            <v>3567.66</v>
          </cell>
          <cell r="F143">
            <v>5755.32</v>
          </cell>
          <cell r="G143">
            <v>1415.57</v>
          </cell>
          <cell r="H143">
            <v>3254.56</v>
          </cell>
          <cell r="I143">
            <v>8297.89</v>
          </cell>
          <cell r="J143">
            <v>9408.66</v>
          </cell>
          <cell r="K143">
            <v>12126.73</v>
          </cell>
          <cell r="L143">
            <v>5631.25</v>
          </cell>
          <cell r="M143">
            <v>-1063.77</v>
          </cell>
          <cell r="N143">
            <v>1208.72</v>
          </cell>
          <cell r="O143">
            <v>5708.72</v>
          </cell>
          <cell r="P143">
            <v>329204.15000000002</v>
          </cell>
          <cell r="Q143">
            <v>96475.58</v>
          </cell>
          <cell r="R143">
            <v>142343.71</v>
          </cell>
          <cell r="S143">
            <v>162456.91</v>
          </cell>
          <cell r="T143">
            <v>135130.35999999999</v>
          </cell>
          <cell r="U143">
            <v>184623.59</v>
          </cell>
          <cell r="V143">
            <v>202593.63</v>
          </cell>
          <cell r="W143">
            <v>128051</v>
          </cell>
          <cell r="X143">
            <v>221982.15</v>
          </cell>
          <cell r="Y143">
            <v>62720.23</v>
          </cell>
          <cell r="Z143">
            <v>104519.7</v>
          </cell>
          <cell r="AA143">
            <v>252000.59</v>
          </cell>
          <cell r="AB143">
            <v>303673.37</v>
          </cell>
          <cell r="AC143">
            <v>118947.71</v>
          </cell>
          <cell r="AD143">
            <v>243578.06</v>
          </cell>
          <cell r="AE143">
            <v>101576</v>
          </cell>
          <cell r="AF143">
            <v>122027.2</v>
          </cell>
          <cell r="AG143">
            <v>190163.75</v>
          </cell>
          <cell r="AH143">
            <v>259578.6</v>
          </cell>
          <cell r="AI143">
            <v>39899.230000000003</v>
          </cell>
          <cell r="AJ143">
            <v>167780.61</v>
          </cell>
          <cell r="AK143">
            <v>136252.54999999999</v>
          </cell>
          <cell r="AL143">
            <v>130160.2</v>
          </cell>
          <cell r="AM143">
            <v>248993.03</v>
          </cell>
          <cell r="AN143">
            <v>375324.01</v>
          </cell>
          <cell r="AO143">
            <v>48247.38</v>
          </cell>
          <cell r="AP143">
            <v>140744.04</v>
          </cell>
          <cell r="AQ143">
            <v>220147.52</v>
          </cell>
          <cell r="AR143">
            <v>103384.53</v>
          </cell>
          <cell r="AS143">
            <v>183248.01</v>
          </cell>
          <cell r="AT143">
            <v>270866.03999999998</v>
          </cell>
          <cell r="AU143">
            <v>61365.97</v>
          </cell>
          <cell r="AV143">
            <v>149797.38</v>
          </cell>
          <cell r="AW143">
            <v>138663.37</v>
          </cell>
          <cell r="AX143">
            <v>124722.85</v>
          </cell>
          <cell r="AY143">
            <v>271080.28999999998</v>
          </cell>
          <cell r="AZ143">
            <v>415728.51</v>
          </cell>
          <cell r="BA143">
            <v>27395.47</v>
          </cell>
          <cell r="BB143">
            <v>154659.95000000001</v>
          </cell>
          <cell r="BC143">
            <v>175623.39</v>
          </cell>
          <cell r="BD143">
            <v>128057.1</v>
          </cell>
          <cell r="BE143">
            <v>193570.42</v>
          </cell>
          <cell r="BF143">
            <v>304765.44</v>
          </cell>
          <cell r="BG143">
            <v>58586.62</v>
          </cell>
          <cell r="BH143">
            <v>169351.89</v>
          </cell>
          <cell r="BI143">
            <v>112577.26</v>
          </cell>
          <cell r="BJ143">
            <v>120777.49</v>
          </cell>
          <cell r="BK143">
            <v>275246.58</v>
          </cell>
          <cell r="BL143">
            <v>361761.63</v>
          </cell>
          <cell r="BM143">
            <v>104738.5</v>
          </cell>
          <cell r="BN143">
            <v>139049.63</v>
          </cell>
          <cell r="BO143">
            <v>218540.83</v>
          </cell>
          <cell r="BP143">
            <v>89591.88</v>
          </cell>
          <cell r="BQ143">
            <v>222853.22</v>
          </cell>
          <cell r="BR143">
            <v>301864.37</v>
          </cell>
          <cell r="BS143">
            <v>34151.300000000003</v>
          </cell>
          <cell r="BT143">
            <v>175217.73</v>
          </cell>
          <cell r="BU143">
            <v>141232.39000000001</v>
          </cell>
          <cell r="BV143">
            <v>116887.3</v>
          </cell>
          <cell r="BW143">
            <v>273742.5</v>
          </cell>
          <cell r="BX143">
            <v>431970.81</v>
          </cell>
          <cell r="BY143">
            <v>117498</v>
          </cell>
          <cell r="BZ143">
            <v>188912.59</v>
          </cell>
          <cell r="CA143">
            <v>164588.98000000001</v>
          </cell>
          <cell r="CB143">
            <v>9601.57</v>
          </cell>
          <cell r="CC143">
            <v>185953.34</v>
          </cell>
          <cell r="CD143">
            <v>209340.13</v>
          </cell>
          <cell r="CE143">
            <v>122494.62</v>
          </cell>
          <cell r="CF143">
            <v>239736.17</v>
          </cell>
          <cell r="CG143">
            <v>67259.350000000006</v>
          </cell>
          <cell r="CH143">
            <v>136318.85999999999</v>
          </cell>
          <cell r="CI143">
            <v>613889.06000000006</v>
          </cell>
          <cell r="CJ143">
            <v>261941.93</v>
          </cell>
          <cell r="CK143">
            <v>100864.03</v>
          </cell>
          <cell r="CL143">
            <v>228401.17</v>
          </cell>
          <cell r="CM143">
            <v>224040.23</v>
          </cell>
          <cell r="CN143">
            <v>148098.21</v>
          </cell>
          <cell r="CO143">
            <v>357997.86</v>
          </cell>
          <cell r="CP143">
            <v>192713.52</v>
          </cell>
          <cell r="CQ143">
            <v>199981.33</v>
          </cell>
          <cell r="CR143">
            <v>277884.49</v>
          </cell>
          <cell r="CS143">
            <v>105010.77</v>
          </cell>
          <cell r="CT143">
            <v>146722.29</v>
          </cell>
          <cell r="CU143">
            <v>642551.68999999994</v>
          </cell>
          <cell r="CV143">
            <v>306508.42</v>
          </cell>
          <cell r="CW143">
            <v>87639.6</v>
          </cell>
          <cell r="CX143">
            <v>211630.37</v>
          </cell>
          <cell r="CY143">
            <v>286089.67</v>
          </cell>
          <cell r="CZ143">
            <v>74553.5</v>
          </cell>
          <cell r="DA143">
            <v>303852.37</v>
          </cell>
          <cell r="DB143">
            <v>279002.98</v>
          </cell>
          <cell r="DC143">
            <v>166504.29999999999</v>
          </cell>
          <cell r="DD143">
            <v>259488.25</v>
          </cell>
          <cell r="DE143">
            <v>39657.21</v>
          </cell>
          <cell r="DF143">
            <v>144966.06</v>
          </cell>
          <cell r="DG143">
            <v>566812.71</v>
          </cell>
          <cell r="DH143">
            <v>2726705.44</v>
          </cell>
        </row>
        <row r="144">
          <cell r="A144" t="str">
            <v>6010310</v>
          </cell>
          <cell r="B144" t="str">
            <v>6010310</v>
          </cell>
          <cell r="C144" t="str">
            <v>Labor Union ST</v>
          </cell>
          <cell r="D144">
            <v>557663.41</v>
          </cell>
          <cell r="E144">
            <v>498218.7</v>
          </cell>
          <cell r="F144">
            <v>560036.39</v>
          </cell>
          <cell r="G144">
            <v>535359.54</v>
          </cell>
          <cell r="H144">
            <v>555307.65</v>
          </cell>
          <cell r="I144">
            <v>525565.89</v>
          </cell>
          <cell r="J144">
            <v>534709.73</v>
          </cell>
          <cell r="K144">
            <v>541251.6</v>
          </cell>
          <cell r="L144">
            <v>536973.18000000005</v>
          </cell>
          <cell r="M144">
            <v>546190.53</v>
          </cell>
          <cell r="N144">
            <v>541102.13</v>
          </cell>
          <cell r="O144">
            <v>556339.43000000005</v>
          </cell>
          <cell r="P144">
            <v>379248.67</v>
          </cell>
          <cell r="Q144">
            <v>431949.18</v>
          </cell>
          <cell r="R144">
            <v>460160.43</v>
          </cell>
          <cell r="S144">
            <v>434314.16</v>
          </cell>
          <cell r="T144">
            <v>449454.41</v>
          </cell>
          <cell r="U144">
            <v>420124.9</v>
          </cell>
          <cell r="V144">
            <v>424252.96</v>
          </cell>
          <cell r="W144">
            <v>413860.45</v>
          </cell>
          <cell r="X144">
            <v>387236.79</v>
          </cell>
          <cell r="Y144">
            <v>503463.93</v>
          </cell>
          <cell r="Z144">
            <v>472324.98</v>
          </cell>
          <cell r="AA144">
            <v>440495.4</v>
          </cell>
          <cell r="AB144">
            <v>402792.2</v>
          </cell>
          <cell r="AC144">
            <v>443620.88</v>
          </cell>
          <cell r="AD144">
            <v>461008.89</v>
          </cell>
          <cell r="AE144">
            <v>463843.85</v>
          </cell>
          <cell r="AF144">
            <v>483790.19</v>
          </cell>
          <cell r="AG144">
            <v>413295.95</v>
          </cell>
          <cell r="AH144">
            <v>381581.82</v>
          </cell>
          <cell r="AI144">
            <v>693174.1</v>
          </cell>
          <cell r="AJ144">
            <v>496898.2</v>
          </cell>
          <cell r="AK144">
            <v>524076.72</v>
          </cell>
          <cell r="AL144">
            <v>508165.47</v>
          </cell>
          <cell r="AM144">
            <v>454759.03</v>
          </cell>
          <cell r="AN144">
            <v>394006.7</v>
          </cell>
          <cell r="AO144">
            <v>503748.72</v>
          </cell>
          <cell r="AP144">
            <v>505902.08000000002</v>
          </cell>
          <cell r="AQ144">
            <v>426462.93</v>
          </cell>
          <cell r="AR144">
            <v>521342.28</v>
          </cell>
          <cell r="AS144">
            <v>444508.86</v>
          </cell>
          <cell r="AT144">
            <v>431496.75</v>
          </cell>
          <cell r="AU144">
            <v>546938.71</v>
          </cell>
          <cell r="AV144">
            <v>457995.07</v>
          </cell>
          <cell r="AW144">
            <v>495116.68</v>
          </cell>
          <cell r="AX144">
            <v>489227.62</v>
          </cell>
          <cell r="AY144">
            <v>416782.02</v>
          </cell>
          <cell r="AZ144">
            <v>376279.51</v>
          </cell>
          <cell r="BA144">
            <v>481773.8</v>
          </cell>
          <cell r="BB144">
            <v>459500.39</v>
          </cell>
          <cell r="BC144">
            <v>419223.09</v>
          </cell>
          <cell r="BD144">
            <v>460514.3</v>
          </cell>
          <cell r="BE144">
            <v>440335.23</v>
          </cell>
          <cell r="BF144">
            <v>403215.65</v>
          </cell>
          <cell r="BG144">
            <v>516391.75</v>
          </cell>
          <cell r="BH144">
            <v>420729.26</v>
          </cell>
          <cell r="BI144">
            <v>509809.84</v>
          </cell>
          <cell r="BJ144">
            <v>484625.36</v>
          </cell>
          <cell r="BK144">
            <v>407705.44</v>
          </cell>
          <cell r="BL144">
            <v>394326.6</v>
          </cell>
          <cell r="BM144">
            <v>431873.38</v>
          </cell>
          <cell r="BN144">
            <v>434235.86</v>
          </cell>
          <cell r="BO144">
            <v>411862.42</v>
          </cell>
          <cell r="BP144">
            <v>473513.66</v>
          </cell>
          <cell r="BQ144">
            <v>405310.44</v>
          </cell>
          <cell r="BR144">
            <v>408334.58</v>
          </cell>
          <cell r="BS144">
            <v>529172.98</v>
          </cell>
          <cell r="BT144">
            <v>459615.63</v>
          </cell>
          <cell r="BU144">
            <v>519937.79</v>
          </cell>
          <cell r="BV144">
            <v>474765.28</v>
          </cell>
          <cell r="BW144">
            <v>437082.64</v>
          </cell>
          <cell r="BX144">
            <v>372534.95</v>
          </cell>
          <cell r="BY144">
            <v>451702.02</v>
          </cell>
          <cell r="BZ144">
            <v>461043.35</v>
          </cell>
          <cell r="CA144">
            <v>466028.18</v>
          </cell>
          <cell r="CB144">
            <v>498816.08</v>
          </cell>
          <cell r="CC144">
            <v>458024.7</v>
          </cell>
          <cell r="CD144">
            <v>488099.8</v>
          </cell>
          <cell r="CE144">
            <v>478208.49</v>
          </cell>
          <cell r="CF144">
            <v>438647.19</v>
          </cell>
          <cell r="CG144">
            <v>517728.3</v>
          </cell>
          <cell r="CH144">
            <v>471390.75</v>
          </cell>
          <cell r="CI144">
            <v>143255.79999999999</v>
          </cell>
          <cell r="CJ144">
            <v>325714.21999999997</v>
          </cell>
          <cell r="CK144">
            <v>343612.64</v>
          </cell>
          <cell r="CL144">
            <v>391275.77</v>
          </cell>
          <cell r="CM144">
            <v>362775.2</v>
          </cell>
          <cell r="CN144">
            <v>356735.89</v>
          </cell>
          <cell r="CO144">
            <v>327130.88</v>
          </cell>
          <cell r="CP144">
            <v>378700.78</v>
          </cell>
          <cell r="CQ144">
            <v>358859.78</v>
          </cell>
          <cell r="CR144">
            <v>342224.71</v>
          </cell>
          <cell r="CS144">
            <v>374424.32000000001</v>
          </cell>
          <cell r="CT144">
            <v>368397.47</v>
          </cell>
          <cell r="CU144">
            <v>285632.46000000002</v>
          </cell>
          <cell r="CV144">
            <v>324921.28000000003</v>
          </cell>
          <cell r="CW144">
            <v>324064.49</v>
          </cell>
          <cell r="CX144">
            <v>349070.72</v>
          </cell>
          <cell r="CY144">
            <v>324022.78000000003</v>
          </cell>
          <cell r="CZ144">
            <v>381256.32</v>
          </cell>
          <cell r="DA144">
            <v>365108.5</v>
          </cell>
          <cell r="DB144">
            <v>349330.94</v>
          </cell>
          <cell r="DC144">
            <v>382642.74</v>
          </cell>
          <cell r="DD144">
            <v>353925.26</v>
          </cell>
          <cell r="DE144">
            <v>412720.86</v>
          </cell>
          <cell r="DF144">
            <v>418866.95</v>
          </cell>
          <cell r="DG144">
            <v>332512.44</v>
          </cell>
          <cell r="DH144">
            <v>4318443.28</v>
          </cell>
        </row>
        <row r="145">
          <cell r="A145" t="str">
            <v>6010320</v>
          </cell>
          <cell r="B145" t="str">
            <v>6010320</v>
          </cell>
          <cell r="C145" t="str">
            <v>Labor Union OT</v>
          </cell>
          <cell r="D145">
            <v>62074.91</v>
          </cell>
          <cell r="E145">
            <v>47872.58</v>
          </cell>
          <cell r="F145">
            <v>52343.93</v>
          </cell>
          <cell r="G145">
            <v>69863.03</v>
          </cell>
          <cell r="H145">
            <v>52607.38</v>
          </cell>
          <cell r="I145">
            <v>52555.9</v>
          </cell>
          <cell r="J145">
            <v>59199.85</v>
          </cell>
          <cell r="K145">
            <v>50736.44</v>
          </cell>
          <cell r="L145">
            <v>68482.39</v>
          </cell>
          <cell r="M145">
            <v>62251.94</v>
          </cell>
          <cell r="N145">
            <v>71205.33</v>
          </cell>
          <cell r="O145">
            <v>74202.25</v>
          </cell>
          <cell r="P145">
            <v>44469.47</v>
          </cell>
          <cell r="Q145">
            <v>55466.5</v>
          </cell>
          <cell r="R145">
            <v>65523.55</v>
          </cell>
          <cell r="S145">
            <v>57076.83</v>
          </cell>
          <cell r="T145">
            <v>81901.08</v>
          </cell>
          <cell r="U145">
            <v>83393.45</v>
          </cell>
          <cell r="V145">
            <v>74622.009999999995</v>
          </cell>
          <cell r="W145">
            <v>83353.78</v>
          </cell>
          <cell r="X145">
            <v>95524.86</v>
          </cell>
          <cell r="Y145">
            <v>109500.64</v>
          </cell>
          <cell r="Z145">
            <v>131636.51</v>
          </cell>
          <cell r="AA145">
            <v>131453.25</v>
          </cell>
          <cell r="AB145">
            <v>88305.93</v>
          </cell>
          <cell r="AC145">
            <v>119474.11</v>
          </cell>
          <cell r="AD145">
            <v>104068.87</v>
          </cell>
          <cell r="AE145">
            <v>89459.16</v>
          </cell>
          <cell r="AF145">
            <v>81612.14</v>
          </cell>
          <cell r="AG145">
            <v>103327.36</v>
          </cell>
          <cell r="AH145">
            <v>97383.52</v>
          </cell>
          <cell r="AI145">
            <v>130831.79</v>
          </cell>
          <cell r="AJ145">
            <v>124621.64</v>
          </cell>
          <cell r="AK145">
            <v>157150.46</v>
          </cell>
          <cell r="AL145">
            <v>138895.39000000001</v>
          </cell>
          <cell r="AM145">
            <v>113233.72</v>
          </cell>
          <cell r="AN145">
            <v>202963.48</v>
          </cell>
          <cell r="AO145">
            <v>56467.39</v>
          </cell>
          <cell r="AP145">
            <v>104412.11</v>
          </cell>
          <cell r="AQ145">
            <v>122194.46</v>
          </cell>
          <cell r="AR145">
            <v>92821.42</v>
          </cell>
          <cell r="AS145">
            <v>98886.78</v>
          </cell>
          <cell r="AT145">
            <v>83748.62</v>
          </cell>
          <cell r="AU145">
            <v>141660.29</v>
          </cell>
          <cell r="AV145">
            <v>167002.82</v>
          </cell>
          <cell r="AW145">
            <v>79527.179999999993</v>
          </cell>
          <cell r="AX145">
            <v>129356.06</v>
          </cell>
          <cell r="AY145">
            <v>110699.75</v>
          </cell>
          <cell r="AZ145">
            <v>119775.47</v>
          </cell>
          <cell r="BA145">
            <v>146964.69</v>
          </cell>
          <cell r="BB145">
            <v>81722.649999999994</v>
          </cell>
          <cell r="BC145">
            <v>102887.74</v>
          </cell>
          <cell r="BD145">
            <v>87042.14</v>
          </cell>
          <cell r="BE145">
            <v>116157.75999999999</v>
          </cell>
          <cell r="BF145">
            <v>103126.53</v>
          </cell>
          <cell r="BG145">
            <v>125933.27</v>
          </cell>
          <cell r="BH145">
            <v>91040.06</v>
          </cell>
          <cell r="BI145">
            <v>248767.4</v>
          </cell>
          <cell r="BJ145">
            <v>112846.98</v>
          </cell>
          <cell r="BK145">
            <v>132205.94</v>
          </cell>
          <cell r="BL145">
            <v>87561.22</v>
          </cell>
          <cell r="BM145">
            <v>124250.34</v>
          </cell>
          <cell r="BN145">
            <v>113649.09</v>
          </cell>
          <cell r="BO145">
            <v>98689.34</v>
          </cell>
          <cell r="BP145">
            <v>115103.12</v>
          </cell>
          <cell r="BQ145">
            <v>110807.14</v>
          </cell>
          <cell r="BR145">
            <v>134024.12</v>
          </cell>
          <cell r="BS145">
            <v>132806.72</v>
          </cell>
          <cell r="BT145">
            <v>123500.3</v>
          </cell>
          <cell r="BU145">
            <v>143845.54999999999</v>
          </cell>
          <cell r="BV145">
            <v>125470.54</v>
          </cell>
          <cell r="BW145">
            <v>140071.29999999999</v>
          </cell>
          <cell r="BX145">
            <v>145170.31</v>
          </cell>
          <cell r="BY145">
            <v>103954.5</v>
          </cell>
          <cell r="BZ145">
            <v>114130.97</v>
          </cell>
          <cell r="CA145">
            <v>57551.16</v>
          </cell>
          <cell r="CB145">
            <v>85327.88</v>
          </cell>
          <cell r="CC145">
            <v>56883.32</v>
          </cell>
          <cell r="CD145">
            <v>93600.72</v>
          </cell>
          <cell r="CE145">
            <v>95937.59</v>
          </cell>
          <cell r="CF145">
            <v>85749.36</v>
          </cell>
          <cell r="CG145">
            <v>124475.42</v>
          </cell>
          <cell r="CH145">
            <v>93488.15</v>
          </cell>
          <cell r="CI145">
            <v>83047.75</v>
          </cell>
          <cell r="CJ145">
            <v>92227</v>
          </cell>
          <cell r="CK145">
            <v>78870.94</v>
          </cell>
          <cell r="CL145">
            <v>90718.76</v>
          </cell>
          <cell r="CM145">
            <v>84516.32</v>
          </cell>
          <cell r="CN145">
            <v>88484.29</v>
          </cell>
          <cell r="CO145">
            <v>96180.88</v>
          </cell>
          <cell r="CP145">
            <v>115852.96</v>
          </cell>
          <cell r="CQ145">
            <v>85773.65</v>
          </cell>
          <cell r="CR145">
            <v>124608.99</v>
          </cell>
          <cell r="CS145">
            <v>81027.179999999993</v>
          </cell>
          <cell r="CT145">
            <v>110315.92</v>
          </cell>
          <cell r="CU145">
            <v>96986.06</v>
          </cell>
          <cell r="CV145">
            <v>94148.69</v>
          </cell>
          <cell r="CW145">
            <v>78691.5</v>
          </cell>
          <cell r="CX145">
            <v>90723.58</v>
          </cell>
          <cell r="CY145">
            <v>83582.039999999994</v>
          </cell>
          <cell r="CZ145">
            <v>59586.51</v>
          </cell>
          <cell r="DA145">
            <v>86576.02</v>
          </cell>
          <cell r="DB145">
            <v>83525.179999999993</v>
          </cell>
          <cell r="DC145">
            <v>78960.81</v>
          </cell>
          <cell r="DD145">
            <v>68348.33</v>
          </cell>
          <cell r="DE145">
            <v>149556.03</v>
          </cell>
          <cell r="DF145">
            <v>71122.41</v>
          </cell>
          <cell r="DG145">
            <v>86799.38</v>
          </cell>
          <cell r="DH145">
            <v>1031620.4800000001</v>
          </cell>
        </row>
        <row r="146">
          <cell r="A146" t="str">
            <v>6010330</v>
          </cell>
          <cell r="B146" t="str">
            <v>6010330</v>
          </cell>
          <cell r="C146" t="str">
            <v>Labor Union NonProd</v>
          </cell>
          <cell r="D146">
            <v>1866.76</v>
          </cell>
          <cell r="E146">
            <v>291.76</v>
          </cell>
          <cell r="F146">
            <v>830.64</v>
          </cell>
          <cell r="G146">
            <v>3791.84</v>
          </cell>
          <cell r="H146">
            <v>5783.8</v>
          </cell>
          <cell r="I146">
            <v>2810.3</v>
          </cell>
          <cell r="J146">
            <v>966.76</v>
          </cell>
          <cell r="K146">
            <v>333.44</v>
          </cell>
          <cell r="L146">
            <v>2028.19</v>
          </cell>
          <cell r="M146">
            <v>-486.27</v>
          </cell>
          <cell r="N146">
            <v>375.12</v>
          </cell>
          <cell r="O146">
            <v>1575.12</v>
          </cell>
          <cell r="P146">
            <v>176744.66</v>
          </cell>
          <cell r="Q146">
            <v>72537.429999999993</v>
          </cell>
          <cell r="R146">
            <v>76035.98</v>
          </cell>
          <cell r="S146">
            <v>80452.89</v>
          </cell>
          <cell r="T146">
            <v>53621.09</v>
          </cell>
          <cell r="U146">
            <v>86892.21</v>
          </cell>
          <cell r="V146">
            <v>88268.52</v>
          </cell>
          <cell r="W146">
            <v>59974.39</v>
          </cell>
          <cell r="X146">
            <v>97203.77</v>
          </cell>
          <cell r="Y146">
            <v>17024.060000000001</v>
          </cell>
          <cell r="Z146">
            <v>48903.09</v>
          </cell>
          <cell r="AA146">
            <v>109861.6</v>
          </cell>
          <cell r="AB146">
            <v>139066.34</v>
          </cell>
          <cell r="AC146">
            <v>70932.990000000005</v>
          </cell>
          <cell r="AD146">
            <v>96354.44</v>
          </cell>
          <cell r="AE146">
            <v>66149.91</v>
          </cell>
          <cell r="AF146">
            <v>51116.9</v>
          </cell>
          <cell r="AG146">
            <v>100423.91</v>
          </cell>
          <cell r="AH146">
            <v>132458.87</v>
          </cell>
          <cell r="AI146">
            <v>89647.24</v>
          </cell>
          <cell r="AJ146">
            <v>95020.88</v>
          </cell>
          <cell r="AK146">
            <v>55975.88</v>
          </cell>
          <cell r="AL146">
            <v>66537.77</v>
          </cell>
          <cell r="AM146">
            <v>121183.96</v>
          </cell>
          <cell r="AN146">
            <v>186278.96</v>
          </cell>
          <cell r="AO146">
            <v>17486.87</v>
          </cell>
          <cell r="AP146">
            <v>88483.48</v>
          </cell>
          <cell r="AQ146">
            <v>97834.21</v>
          </cell>
          <cell r="AR146">
            <v>43290.81</v>
          </cell>
          <cell r="AS146">
            <v>106142.71</v>
          </cell>
          <cell r="AT146">
            <v>120905.22</v>
          </cell>
          <cell r="AU146">
            <v>26941.32</v>
          </cell>
          <cell r="AV146">
            <v>81600.179999999993</v>
          </cell>
          <cell r="AW146">
            <v>60949.64</v>
          </cell>
          <cell r="AX146">
            <v>67151.05</v>
          </cell>
          <cell r="AY146">
            <v>125991.03</v>
          </cell>
          <cell r="AZ146">
            <v>196092.01</v>
          </cell>
          <cell r="BA146">
            <v>11752.19</v>
          </cell>
          <cell r="BB146">
            <v>71111.81</v>
          </cell>
          <cell r="BC146">
            <v>60876.24</v>
          </cell>
          <cell r="BD146">
            <v>58105.39</v>
          </cell>
          <cell r="BE146">
            <v>93929.7</v>
          </cell>
          <cell r="BF146">
            <v>131198.82</v>
          </cell>
          <cell r="BG146">
            <v>14228.46</v>
          </cell>
          <cell r="BH146">
            <v>76667.75</v>
          </cell>
          <cell r="BI146">
            <v>55931.94</v>
          </cell>
          <cell r="BJ146">
            <v>63039.72</v>
          </cell>
          <cell r="BK146">
            <v>131500.97</v>
          </cell>
          <cell r="BL146">
            <v>159317.29</v>
          </cell>
          <cell r="BM146">
            <v>56599.02</v>
          </cell>
          <cell r="BN146">
            <v>89829.52</v>
          </cell>
          <cell r="BO146">
            <v>87561.16</v>
          </cell>
          <cell r="BP146">
            <v>55438.12</v>
          </cell>
          <cell r="BQ146">
            <v>86099.46</v>
          </cell>
          <cell r="BR146">
            <v>114243.66</v>
          </cell>
          <cell r="BS146">
            <v>6624.91</v>
          </cell>
          <cell r="BT146">
            <v>71987.820000000007</v>
          </cell>
          <cell r="BU146">
            <v>36625.17</v>
          </cell>
          <cell r="BV146">
            <v>45742.79</v>
          </cell>
          <cell r="BW146">
            <v>115044.78</v>
          </cell>
          <cell r="BX146">
            <v>192997.85</v>
          </cell>
          <cell r="BY146">
            <v>49939.39</v>
          </cell>
          <cell r="BZ146">
            <v>71653.77</v>
          </cell>
          <cell r="CA146">
            <v>70570.27</v>
          </cell>
          <cell r="CB146">
            <v>7802.17</v>
          </cell>
          <cell r="CC146">
            <v>81946.929999999993</v>
          </cell>
          <cell r="CD146">
            <v>80561.83</v>
          </cell>
          <cell r="CE146">
            <v>46149.69</v>
          </cell>
          <cell r="CF146">
            <v>109701.74</v>
          </cell>
          <cell r="CG146">
            <v>24544.14</v>
          </cell>
          <cell r="CH146">
            <v>41710.01</v>
          </cell>
          <cell r="CI146">
            <v>151707.59</v>
          </cell>
          <cell r="CJ146">
            <v>79724.86</v>
          </cell>
          <cell r="CK146">
            <v>37992.769999999997</v>
          </cell>
          <cell r="CL146">
            <v>50619.73</v>
          </cell>
          <cell r="CM146">
            <v>58178.63</v>
          </cell>
          <cell r="CN146">
            <v>43323.98</v>
          </cell>
          <cell r="CO146">
            <v>107106.65</v>
          </cell>
          <cell r="CP146">
            <v>60547.22</v>
          </cell>
          <cell r="CQ146">
            <v>60971.08</v>
          </cell>
          <cell r="CR146">
            <v>87844.62</v>
          </cell>
          <cell r="CS146">
            <v>27831.74</v>
          </cell>
          <cell r="CT146">
            <v>46553.59</v>
          </cell>
          <cell r="CU146">
            <v>146739.68</v>
          </cell>
          <cell r="CV146">
            <v>88416.81</v>
          </cell>
          <cell r="CW146">
            <v>42685.2</v>
          </cell>
          <cell r="CX146">
            <v>64431.42</v>
          </cell>
          <cell r="CY146">
            <v>66184.91</v>
          </cell>
          <cell r="CZ146">
            <v>37409.57</v>
          </cell>
          <cell r="DA146">
            <v>57394.55</v>
          </cell>
          <cell r="DB146">
            <v>73439.289999999994</v>
          </cell>
          <cell r="DC146">
            <v>50979.75</v>
          </cell>
          <cell r="DD146">
            <v>72405.759999999995</v>
          </cell>
          <cell r="DE146">
            <v>2132.69</v>
          </cell>
          <cell r="DF146">
            <v>24577.85</v>
          </cell>
          <cell r="DG146">
            <v>138899.92000000001</v>
          </cell>
          <cell r="DH146">
            <v>718957.71999999986</v>
          </cell>
        </row>
        <row r="147">
          <cell r="A147" t="str">
            <v>6010400</v>
          </cell>
          <cell r="B147" t="str">
            <v>6010400</v>
          </cell>
          <cell r="C147" t="str">
            <v>Labor Severance</v>
          </cell>
          <cell r="BF147">
            <v>0</v>
          </cell>
          <cell r="BG147">
            <v>1638.5</v>
          </cell>
          <cell r="BH147">
            <v>-1638.5</v>
          </cell>
          <cell r="BI147">
            <v>0</v>
          </cell>
          <cell r="BJ147">
            <v>162</v>
          </cell>
          <cell r="BK147">
            <v>-162</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64051.199999999997</v>
          </cell>
          <cell r="CX147">
            <v>0</v>
          </cell>
          <cell r="CY147">
            <v>0</v>
          </cell>
          <cell r="CZ147">
            <v>70000</v>
          </cell>
          <cell r="DA147">
            <v>0</v>
          </cell>
          <cell r="DB147">
            <v>0</v>
          </cell>
          <cell r="DC147">
            <v>0</v>
          </cell>
          <cell r="DD147">
            <v>0</v>
          </cell>
          <cell r="DE147">
            <v>0</v>
          </cell>
          <cell r="DF147">
            <v>0</v>
          </cell>
          <cell r="DG147">
            <v>0</v>
          </cell>
          <cell r="DH147">
            <v>134051.20000000001</v>
          </cell>
        </row>
        <row r="148">
          <cell r="A148" t="str">
            <v>6010900</v>
          </cell>
          <cell r="B148" t="str">
            <v>6010900</v>
          </cell>
          <cell r="C148" t="str">
            <v>Labor Commissions</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row>
        <row r="149">
          <cell r="A149" t="str">
            <v>6010910</v>
          </cell>
          <cell r="B149" t="str">
            <v>6010910</v>
          </cell>
          <cell r="C149" t="str">
            <v>Labor OffCycle Bonus</v>
          </cell>
          <cell r="D149">
            <v>10544.83</v>
          </cell>
          <cell r="E149">
            <v>8307.51</v>
          </cell>
          <cell r="F149">
            <v>296.95999999999998</v>
          </cell>
          <cell r="G149">
            <v>1410.56</v>
          </cell>
          <cell r="H149">
            <v>61315.21</v>
          </cell>
          <cell r="I149">
            <v>7128.13</v>
          </cell>
          <cell r="J149">
            <v>4677.07</v>
          </cell>
          <cell r="K149">
            <v>3093.92</v>
          </cell>
          <cell r="L149">
            <v>3158.06</v>
          </cell>
          <cell r="M149">
            <v>2139.2600000000002</v>
          </cell>
          <cell r="N149">
            <v>593.91999999999996</v>
          </cell>
          <cell r="O149">
            <v>24757.279999999999</v>
          </cell>
          <cell r="P149">
            <v>32557.360000000001</v>
          </cell>
          <cell r="Q149">
            <v>15621.47</v>
          </cell>
          <cell r="R149">
            <v>593.91</v>
          </cell>
          <cell r="S149">
            <v>10015.91</v>
          </cell>
          <cell r="T149">
            <v>296.95999999999998</v>
          </cell>
          <cell r="U149">
            <v>23170.36</v>
          </cell>
          <cell r="V149">
            <v>1336.36</v>
          </cell>
          <cell r="W149">
            <v>29002.82</v>
          </cell>
          <cell r="X149">
            <v>41315.81</v>
          </cell>
          <cell r="Y149">
            <v>21996.82</v>
          </cell>
          <cell r="Z149">
            <v>21982.76</v>
          </cell>
          <cell r="AA149">
            <v>83739.600000000006</v>
          </cell>
          <cell r="AB149">
            <v>27834.67</v>
          </cell>
          <cell r="AC149">
            <v>30100.09</v>
          </cell>
          <cell r="AD149">
            <v>18167.37</v>
          </cell>
          <cell r="AE149">
            <v>7385.72</v>
          </cell>
          <cell r="AF149">
            <v>4853.8599999999997</v>
          </cell>
          <cell r="AG149">
            <v>10226.959999999999</v>
          </cell>
          <cell r="AH149">
            <v>1410.56</v>
          </cell>
          <cell r="AI149">
            <v>1749.39</v>
          </cell>
          <cell r="AJ149">
            <v>6310.38</v>
          </cell>
          <cell r="AK149">
            <v>3979.37</v>
          </cell>
          <cell r="AL149">
            <v>6650.26</v>
          </cell>
          <cell r="AM149">
            <v>30836.75</v>
          </cell>
          <cell r="AN149">
            <v>82662.27</v>
          </cell>
          <cell r="AO149">
            <v>445.43</v>
          </cell>
          <cell r="AP149">
            <v>56673.06</v>
          </cell>
          <cell r="AQ149">
            <v>3910.56</v>
          </cell>
          <cell r="AR149">
            <v>519.66999999999996</v>
          </cell>
          <cell r="AS149">
            <v>296.97000000000003</v>
          </cell>
          <cell r="AT149">
            <v>10373.34</v>
          </cell>
          <cell r="AU149">
            <v>26133.59</v>
          </cell>
          <cell r="AV149">
            <v>593.88</v>
          </cell>
          <cell r="AW149">
            <v>50863.62</v>
          </cell>
          <cell r="AX149">
            <v>13543.26</v>
          </cell>
          <cell r="AY149">
            <v>445.43</v>
          </cell>
          <cell r="AZ149">
            <v>10413.219999999999</v>
          </cell>
          <cell r="BA149">
            <v>43455.7</v>
          </cell>
          <cell r="BB149">
            <v>5173.16</v>
          </cell>
          <cell r="BC149">
            <v>49042.91</v>
          </cell>
          <cell r="BD149">
            <v>18284.29</v>
          </cell>
          <cell r="BE149">
            <v>510.64</v>
          </cell>
          <cell r="BF149">
            <v>19635.11</v>
          </cell>
          <cell r="BG149">
            <v>25853.17</v>
          </cell>
          <cell r="BH149">
            <v>25870.639999999999</v>
          </cell>
          <cell r="BI149">
            <v>14055.63</v>
          </cell>
          <cell r="BJ149">
            <v>15239.6</v>
          </cell>
          <cell r="BK149">
            <v>44426.42</v>
          </cell>
          <cell r="BL149">
            <v>91528.13</v>
          </cell>
          <cell r="BM149">
            <v>426.42</v>
          </cell>
          <cell r="BN149">
            <v>21606.25</v>
          </cell>
          <cell r="BO149">
            <v>4852.87</v>
          </cell>
          <cell r="BP149">
            <v>3837.96</v>
          </cell>
          <cell r="BQ149">
            <v>14810.58</v>
          </cell>
          <cell r="BR149">
            <v>74438.53</v>
          </cell>
          <cell r="BS149">
            <v>20696.97</v>
          </cell>
          <cell r="BT149">
            <v>8284.2800000000007</v>
          </cell>
          <cell r="BU149">
            <v>6279.32</v>
          </cell>
          <cell r="BV149">
            <v>43483.3</v>
          </cell>
          <cell r="BW149">
            <v>49708.35</v>
          </cell>
          <cell r="BX149">
            <v>8494.6299999999992</v>
          </cell>
          <cell r="BY149">
            <v>20000</v>
          </cell>
          <cell r="BZ149">
            <v>138149.57999999999</v>
          </cell>
          <cell r="CA149">
            <v>835.98</v>
          </cell>
          <cell r="CB149">
            <v>14356.79</v>
          </cell>
          <cell r="CC149">
            <v>14419.06</v>
          </cell>
          <cell r="CD149">
            <v>15414.64</v>
          </cell>
          <cell r="CE149">
            <v>9372.89</v>
          </cell>
          <cell r="CF149">
            <v>1512.53</v>
          </cell>
          <cell r="CG149">
            <v>142.15</v>
          </cell>
          <cell r="CH149">
            <v>3844.61</v>
          </cell>
          <cell r="CI149">
            <v>10948.52</v>
          </cell>
          <cell r="CJ149">
            <v>43626.23</v>
          </cell>
          <cell r="CK149">
            <v>213.22</v>
          </cell>
          <cell r="CL149">
            <v>15972.2</v>
          </cell>
          <cell r="CM149">
            <v>5259.75</v>
          </cell>
          <cell r="CN149">
            <v>995.35</v>
          </cell>
          <cell r="CO149">
            <v>2035.35</v>
          </cell>
          <cell r="CP149">
            <v>17495</v>
          </cell>
          <cell r="CQ149">
            <v>14063.57</v>
          </cell>
          <cell r="CR149">
            <v>82132.2</v>
          </cell>
          <cell r="CS149">
            <v>13250</v>
          </cell>
          <cell r="CT149">
            <v>76282.679999999993</v>
          </cell>
          <cell r="CU149">
            <v>40764.39</v>
          </cell>
          <cell r="CV149">
            <v>34302.01</v>
          </cell>
          <cell r="CW149">
            <v>44946.68</v>
          </cell>
          <cell r="CX149">
            <v>7089.23</v>
          </cell>
          <cell r="CY149">
            <v>62334.61</v>
          </cell>
          <cell r="CZ149">
            <v>7710.73</v>
          </cell>
          <cell r="DA149">
            <v>35321.97</v>
          </cell>
          <cell r="DB149">
            <v>37687.47</v>
          </cell>
          <cell r="DC149">
            <v>21321.96</v>
          </cell>
          <cell r="DD149">
            <v>92657.57</v>
          </cell>
          <cell r="DE149">
            <v>42842.93</v>
          </cell>
          <cell r="DF149">
            <v>77047.73</v>
          </cell>
          <cell r="DG149">
            <v>58802.12</v>
          </cell>
          <cell r="DH149">
            <v>522065.00999999995</v>
          </cell>
        </row>
        <row r="150">
          <cell r="A150" t="str">
            <v>6010990</v>
          </cell>
          <cell r="B150" t="str">
            <v>6010990</v>
          </cell>
          <cell r="C150" t="str">
            <v>Labor Seconded Employees</v>
          </cell>
          <cell r="BF150">
            <v>0</v>
          </cell>
          <cell r="BG150">
            <v>1638.5</v>
          </cell>
          <cell r="BH150">
            <v>-1638.5</v>
          </cell>
          <cell r="BI150">
            <v>0</v>
          </cell>
          <cell r="BJ150">
            <v>162</v>
          </cell>
          <cell r="BK150">
            <v>-162</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338698.26</v>
          </cell>
          <cell r="CO150">
            <v>61885.13</v>
          </cell>
          <cell r="CP150">
            <v>60464.06</v>
          </cell>
          <cell r="CQ150">
            <v>58623.76</v>
          </cell>
          <cell r="CR150">
            <v>87363.09</v>
          </cell>
          <cell r="CS150">
            <v>59789.51</v>
          </cell>
          <cell r="CT150">
            <v>59719.44</v>
          </cell>
          <cell r="CU150">
            <v>60687.54</v>
          </cell>
          <cell r="CV150">
            <v>67051.87</v>
          </cell>
          <cell r="CW150">
            <v>67124.56</v>
          </cell>
          <cell r="CX150">
            <v>67743.97</v>
          </cell>
          <cell r="CY150">
            <v>97955.62</v>
          </cell>
          <cell r="CZ150">
            <v>64718.07</v>
          </cell>
          <cell r="DA150">
            <v>64629.21</v>
          </cell>
          <cell r="DB150">
            <v>63711.98</v>
          </cell>
          <cell r="DC150">
            <v>65449.75</v>
          </cell>
          <cell r="DD150">
            <v>68826.83</v>
          </cell>
          <cell r="DE150">
            <v>43589.05</v>
          </cell>
          <cell r="DF150">
            <v>44402.559999999998</v>
          </cell>
          <cell r="DG150">
            <v>43935.4</v>
          </cell>
          <cell r="DH150">
            <v>759138.87</v>
          </cell>
        </row>
        <row r="151">
          <cell r="A151" t="str">
            <v>6018999</v>
          </cell>
          <cell r="B151" t="str">
            <v>6018999</v>
          </cell>
          <cell r="C151" t="str">
            <v>Labor Exp Reclass</v>
          </cell>
          <cell r="D151">
            <v>52171.68</v>
          </cell>
          <cell r="E151">
            <v>138265.62</v>
          </cell>
          <cell r="F151">
            <v>1643.62</v>
          </cell>
          <cell r="G151">
            <v>49930.37</v>
          </cell>
          <cell r="H151">
            <v>71134.42</v>
          </cell>
          <cell r="I151">
            <v>102730.86</v>
          </cell>
          <cell r="J151">
            <v>50214</v>
          </cell>
          <cell r="K151">
            <v>46534.98</v>
          </cell>
          <cell r="L151">
            <v>47126.080000000002</v>
          </cell>
          <cell r="M151">
            <v>27874.47</v>
          </cell>
          <cell r="N151">
            <v>221837.99</v>
          </cell>
          <cell r="O151">
            <v>-156336.45000000001</v>
          </cell>
          <cell r="P151">
            <v>97494.18</v>
          </cell>
          <cell r="Q151">
            <v>122557.95</v>
          </cell>
          <cell r="R151">
            <v>-20951.97</v>
          </cell>
          <cell r="S151">
            <v>40207.870000000003</v>
          </cell>
          <cell r="T151">
            <v>125060.27</v>
          </cell>
          <cell r="U151">
            <v>74205.259999999995</v>
          </cell>
          <cell r="V151">
            <v>62683.95</v>
          </cell>
          <cell r="W151">
            <v>60060.79</v>
          </cell>
          <cell r="X151">
            <v>58031.5</v>
          </cell>
          <cell r="Y151">
            <v>56076.79</v>
          </cell>
          <cell r="Z151">
            <v>100749.72</v>
          </cell>
          <cell r="AA151">
            <v>129025.91</v>
          </cell>
          <cell r="AB151">
            <v>83678.25</v>
          </cell>
          <cell r="AC151">
            <v>65207.63</v>
          </cell>
          <cell r="AD151">
            <v>63820.43</v>
          </cell>
          <cell r="AE151">
            <v>149745.65</v>
          </cell>
          <cell r="AF151">
            <v>52247.46</v>
          </cell>
          <cell r="AG151">
            <v>82748.06</v>
          </cell>
          <cell r="AH151">
            <v>69788.960000000006</v>
          </cell>
          <cell r="AI151">
            <v>118602.85</v>
          </cell>
          <cell r="AJ151">
            <v>156874.47</v>
          </cell>
          <cell r="AK151">
            <v>98035.55</v>
          </cell>
          <cell r="AL151">
            <v>40106.58</v>
          </cell>
          <cell r="AM151">
            <v>230848.99</v>
          </cell>
          <cell r="AN151">
            <v>76890.78</v>
          </cell>
          <cell r="AO151">
            <v>119546.62</v>
          </cell>
          <cell r="AP151">
            <v>102430.49</v>
          </cell>
          <cell r="AQ151">
            <v>119546.96</v>
          </cell>
          <cell r="AR151">
            <v>87694.65</v>
          </cell>
          <cell r="AS151">
            <v>77803.740000000005</v>
          </cell>
          <cell r="AT151">
            <v>84394.58</v>
          </cell>
          <cell r="AU151">
            <v>94989.27</v>
          </cell>
          <cell r="AV151">
            <v>118662.45</v>
          </cell>
          <cell r="AW151">
            <v>140351.76999999999</v>
          </cell>
          <cell r="AX151">
            <v>85295.2</v>
          </cell>
          <cell r="AY151">
            <v>138066.69</v>
          </cell>
          <cell r="AZ151">
            <v>83874.81</v>
          </cell>
          <cell r="BA151">
            <v>56854.25</v>
          </cell>
          <cell r="BB151">
            <v>84253.07</v>
          </cell>
          <cell r="BC151">
            <v>141442.32999999999</v>
          </cell>
          <cell r="BD151">
            <v>94955.35</v>
          </cell>
          <cell r="BE151">
            <v>88285.32</v>
          </cell>
          <cell r="BF151">
            <v>95776</v>
          </cell>
          <cell r="BG151">
            <v>101611.41</v>
          </cell>
          <cell r="BH151">
            <v>137173.31</v>
          </cell>
          <cell r="BI151">
            <v>94970.82</v>
          </cell>
          <cell r="BJ151">
            <v>151598.85999999999</v>
          </cell>
          <cell r="BK151">
            <v>191222.76</v>
          </cell>
          <cell r="BL151">
            <v>99560.320000000007</v>
          </cell>
          <cell r="BM151">
            <v>162889.5</v>
          </cell>
          <cell r="BN151">
            <v>108285.27</v>
          </cell>
          <cell r="BO151">
            <v>101673.99</v>
          </cell>
          <cell r="BP151">
            <v>148875.01</v>
          </cell>
          <cell r="BQ151">
            <v>134112.93</v>
          </cell>
          <cell r="BR151">
            <v>149746.91</v>
          </cell>
          <cell r="BS151">
            <v>156432.38</v>
          </cell>
          <cell r="BT151">
            <v>218592.89</v>
          </cell>
          <cell r="BU151">
            <v>164482.68</v>
          </cell>
          <cell r="BV151">
            <v>138227.18</v>
          </cell>
          <cell r="BW151">
            <v>136166.06</v>
          </cell>
          <cell r="BX151">
            <v>233753.48</v>
          </cell>
          <cell r="BY151">
            <v>308891.21000000002</v>
          </cell>
          <cell r="BZ151">
            <v>-75955.759999999995</v>
          </cell>
          <cell r="CA151">
            <v>165727.1</v>
          </cell>
          <cell r="CB151">
            <v>135991.75</v>
          </cell>
          <cell r="CC151">
            <v>142798.79</v>
          </cell>
          <cell r="CD151">
            <v>128498.22</v>
          </cell>
          <cell r="CE151">
            <v>174149.84</v>
          </cell>
          <cell r="CF151">
            <v>209076.15</v>
          </cell>
          <cell r="CG151">
            <v>182485.94</v>
          </cell>
          <cell r="CH151">
            <v>186317.49</v>
          </cell>
          <cell r="CI151">
            <v>188739.98</v>
          </cell>
          <cell r="CJ151">
            <v>266200.15000000002</v>
          </cell>
          <cell r="CK151">
            <v>235077.12</v>
          </cell>
          <cell r="CL151">
            <v>273274</v>
          </cell>
          <cell r="CM151">
            <v>423247.9</v>
          </cell>
          <cell r="CN151">
            <v>-21691.360000000001</v>
          </cell>
          <cell r="CO151">
            <v>228146.83</v>
          </cell>
          <cell r="CP151">
            <v>106339.78</v>
          </cell>
          <cell r="CQ151">
            <v>185555.56</v>
          </cell>
          <cell r="CR151">
            <v>175745.44</v>
          </cell>
          <cell r="CS151">
            <v>314862.65999999997</v>
          </cell>
          <cell r="CT151">
            <v>258331.29</v>
          </cell>
          <cell r="CU151">
            <v>415236.26</v>
          </cell>
          <cell r="CV151">
            <v>33039.81</v>
          </cell>
          <cell r="CW151">
            <v>29480.13</v>
          </cell>
          <cell r="CX151">
            <v>-4056.7</v>
          </cell>
          <cell r="CY151">
            <v>36929.040000000001</v>
          </cell>
          <cell r="CZ151">
            <v>33985.61</v>
          </cell>
          <cell r="DA151">
            <v>21012.63</v>
          </cell>
          <cell r="DB151">
            <v>18945.46</v>
          </cell>
          <cell r="DC151">
            <v>11193.28</v>
          </cell>
          <cell r="DD151">
            <v>29944.84</v>
          </cell>
          <cell r="DE151">
            <v>-661628.5</v>
          </cell>
          <cell r="DF151">
            <v>682603.1</v>
          </cell>
          <cell r="DG151">
            <v>107316.29</v>
          </cell>
          <cell r="DH151">
            <v>338764.98999999993</v>
          </cell>
        </row>
        <row r="152">
          <cell r="A152" t="str">
            <v>6019000</v>
          </cell>
          <cell r="B152" t="str">
            <v>6019000</v>
          </cell>
          <cell r="C152" t="str">
            <v>Labor to BalSheet</v>
          </cell>
          <cell r="D152">
            <v>-3364.22</v>
          </cell>
          <cell r="E152">
            <v>0</v>
          </cell>
          <cell r="F152">
            <v>-27876.59</v>
          </cell>
          <cell r="G152">
            <v>0</v>
          </cell>
          <cell r="H152">
            <v>-20750.310000000001</v>
          </cell>
          <cell r="I152">
            <v>-28207.46</v>
          </cell>
          <cell r="J152">
            <v>0</v>
          </cell>
          <cell r="K152">
            <v>0</v>
          </cell>
          <cell r="L152">
            <v>0</v>
          </cell>
          <cell r="M152">
            <v>21024.09</v>
          </cell>
          <cell r="N152">
            <v>-143984.14000000001</v>
          </cell>
          <cell r="O152">
            <v>213469.65</v>
          </cell>
          <cell r="P152">
            <v>0</v>
          </cell>
          <cell r="Q152">
            <v>-57669.1</v>
          </cell>
          <cell r="R152">
            <v>34452.97</v>
          </cell>
          <cell r="S152">
            <v>0</v>
          </cell>
          <cell r="T152">
            <v>-48251.14</v>
          </cell>
          <cell r="U152">
            <v>-24604.36</v>
          </cell>
          <cell r="V152">
            <v>2399.8000000000002</v>
          </cell>
          <cell r="W152">
            <v>-16647.02</v>
          </cell>
          <cell r="X152">
            <v>-9976.99</v>
          </cell>
          <cell r="Y152">
            <v>-12406.42</v>
          </cell>
          <cell r="Z152">
            <v>-7168.57</v>
          </cell>
          <cell r="AA152">
            <v>-78492.149999999994</v>
          </cell>
          <cell r="AB152">
            <v>-22018.52</v>
          </cell>
          <cell r="AC152">
            <v>-7437.44</v>
          </cell>
          <cell r="AD152">
            <v>-12545.44</v>
          </cell>
          <cell r="AE152">
            <v>-7152.56</v>
          </cell>
          <cell r="AF152">
            <v>0</v>
          </cell>
          <cell r="AG152">
            <v>56847.6</v>
          </cell>
          <cell r="AH152">
            <v>24801.29</v>
          </cell>
          <cell r="AI152">
            <v>22783.200000000001</v>
          </cell>
          <cell r="AJ152">
            <v>-9756.39</v>
          </cell>
          <cell r="AK152">
            <v>-9073.69</v>
          </cell>
          <cell r="AL152">
            <v>28972.48</v>
          </cell>
          <cell r="AM152">
            <v>-63689.64</v>
          </cell>
          <cell r="AN152">
            <v>-10707.23</v>
          </cell>
          <cell r="AO152">
            <v>-7777.91</v>
          </cell>
          <cell r="AP152">
            <v>-11059.74</v>
          </cell>
          <cell r="AQ152">
            <v>-8964.8700000000008</v>
          </cell>
          <cell r="AR152">
            <v>-12254.65</v>
          </cell>
          <cell r="AS152">
            <v>-9395.0499999999993</v>
          </cell>
          <cell r="AT152">
            <v>-12751.84</v>
          </cell>
          <cell r="AU152">
            <v>-12674.96</v>
          </cell>
          <cell r="AV152">
            <v>-2663</v>
          </cell>
          <cell r="AW152">
            <v>-17088.39</v>
          </cell>
          <cell r="AX152">
            <v>-12656.48</v>
          </cell>
          <cell r="AY152">
            <v>36114.199999999997</v>
          </cell>
          <cell r="AZ152">
            <v>-15683.22</v>
          </cell>
          <cell r="BA152">
            <v>-9713.52</v>
          </cell>
          <cell r="BB152">
            <v>-5000.5600000000004</v>
          </cell>
          <cell r="BC152">
            <v>-25047.89</v>
          </cell>
          <cell r="BD152">
            <v>-14991.39</v>
          </cell>
          <cell r="BE152">
            <v>-12679.4</v>
          </cell>
          <cell r="BF152">
            <v>-17760.34</v>
          </cell>
          <cell r="BG152">
            <v>-20805.12</v>
          </cell>
          <cell r="BH152">
            <v>-5389.21</v>
          </cell>
          <cell r="BI152">
            <v>-61426.91</v>
          </cell>
          <cell r="BJ152">
            <v>-29320.720000000001</v>
          </cell>
          <cell r="BK152">
            <v>224655.73</v>
          </cell>
          <cell r="BL152">
            <v>-22071.97</v>
          </cell>
          <cell r="BM152">
            <v>-16501.77</v>
          </cell>
          <cell r="BN152">
            <v>-23328.51</v>
          </cell>
          <cell r="BO152">
            <v>-12761.06</v>
          </cell>
          <cell r="BP152">
            <v>-36099.550000000003</v>
          </cell>
          <cell r="BQ152">
            <v>-27877.69</v>
          </cell>
          <cell r="BR152">
            <v>-66309.649999999994</v>
          </cell>
          <cell r="BS152">
            <v>-75205.820000000007</v>
          </cell>
          <cell r="BT152">
            <v>-41264.54</v>
          </cell>
          <cell r="BU152">
            <v>-59580.07</v>
          </cell>
          <cell r="BV152">
            <v>-35435.29</v>
          </cell>
          <cell r="BW152">
            <v>-27505.66</v>
          </cell>
          <cell r="BX152">
            <v>-25853.89</v>
          </cell>
          <cell r="BY152">
            <v>100289.87</v>
          </cell>
          <cell r="BZ152">
            <v>-10372.200000000001</v>
          </cell>
          <cell r="CA152">
            <v>-10925.31</v>
          </cell>
          <cell r="CB152">
            <v>-10017.56</v>
          </cell>
          <cell r="CC152">
            <v>-10967.12</v>
          </cell>
          <cell r="CD152">
            <v>-12831.94</v>
          </cell>
          <cell r="CE152">
            <v>-10704.81</v>
          </cell>
          <cell r="CF152">
            <v>-90569.71</v>
          </cell>
          <cell r="CG152">
            <v>-39708.25</v>
          </cell>
          <cell r="CH152">
            <v>-37818.57</v>
          </cell>
          <cell r="CI152">
            <v>-33973.9</v>
          </cell>
          <cell r="CJ152">
            <v>-59724.45</v>
          </cell>
          <cell r="CK152">
            <v>-54475.63</v>
          </cell>
          <cell r="CL152">
            <v>-96009.84</v>
          </cell>
          <cell r="CM152">
            <v>-45290.49</v>
          </cell>
          <cell r="CN152">
            <v>-60412.39</v>
          </cell>
          <cell r="CO152">
            <v>-65145.3</v>
          </cell>
          <cell r="CP152">
            <v>-68105.66</v>
          </cell>
          <cell r="CQ152">
            <v>-70105.78</v>
          </cell>
          <cell r="CR152">
            <v>-58307.46</v>
          </cell>
          <cell r="CS152">
            <v>-111738.56</v>
          </cell>
          <cell r="CT152">
            <v>-126669.06</v>
          </cell>
          <cell r="CU152">
            <v>-309732.95</v>
          </cell>
          <cell r="CV152">
            <v>-29261.27</v>
          </cell>
          <cell r="CW152">
            <v>-24769.55</v>
          </cell>
          <cell r="CX152">
            <v>-16891.25</v>
          </cell>
          <cell r="CY152">
            <v>-62393.36</v>
          </cell>
          <cell r="CZ152">
            <v>-29129.16</v>
          </cell>
          <cell r="DA152">
            <v>-18459.25</v>
          </cell>
          <cell r="DB152">
            <v>-40448.17</v>
          </cell>
          <cell r="DC152">
            <v>-24588.63</v>
          </cell>
          <cell r="DD152">
            <v>-49252.22</v>
          </cell>
          <cell r="DE152">
            <v>-32349.39</v>
          </cell>
          <cell r="DF152">
            <v>-589787.26</v>
          </cell>
          <cell r="DG152">
            <v>-6214.86</v>
          </cell>
          <cell r="DH152">
            <v>-923544.37</v>
          </cell>
        </row>
        <row r="153">
          <cell r="A153" t="str">
            <v>6019900</v>
          </cell>
          <cell r="B153" t="str">
            <v>6019900</v>
          </cell>
          <cell r="C153" t="str">
            <v>ST LbrBen to BalSht</v>
          </cell>
          <cell r="D153">
            <v>-578807.18999999994</v>
          </cell>
          <cell r="E153">
            <v>-482996.23</v>
          </cell>
          <cell r="F153">
            <v>-569971.55000000005</v>
          </cell>
          <cell r="G153">
            <v>-574244.54</v>
          </cell>
          <cell r="H153">
            <v>-596209.27</v>
          </cell>
          <cell r="I153">
            <v>-541627.57999999996</v>
          </cell>
          <cell r="J153">
            <v>-517880.79</v>
          </cell>
          <cell r="K153">
            <v>-504117.59</v>
          </cell>
          <cell r="L153">
            <v>-593115.31999999995</v>
          </cell>
          <cell r="M153">
            <v>-639120.79</v>
          </cell>
          <cell r="N153">
            <v>-624828.27</v>
          </cell>
          <cell r="O153">
            <v>-611301.31000000006</v>
          </cell>
          <cell r="P153">
            <v>-506561.82</v>
          </cell>
          <cell r="Q153">
            <v>-360950.73</v>
          </cell>
          <cell r="R153">
            <v>-592908.54</v>
          </cell>
          <cell r="S153">
            <v>-466509.73</v>
          </cell>
          <cell r="T153">
            <v>-474315.01</v>
          </cell>
          <cell r="U153">
            <v>-474968.93</v>
          </cell>
          <cell r="V153">
            <v>-455410.84</v>
          </cell>
          <cell r="W153">
            <v>-493864.73</v>
          </cell>
          <cell r="X153">
            <v>-448675.2</v>
          </cell>
          <cell r="Y153">
            <v>-444675.33</v>
          </cell>
          <cell r="Z153">
            <v>-453568.69</v>
          </cell>
          <cell r="AA153">
            <v>-435932.85</v>
          </cell>
          <cell r="AB153">
            <v>-411365.37</v>
          </cell>
          <cell r="AC153">
            <v>-452537.9</v>
          </cell>
          <cell r="AD153">
            <v>-476921.55</v>
          </cell>
          <cell r="AE153">
            <v>-431663.28</v>
          </cell>
          <cell r="AF153">
            <v>-436811.44</v>
          </cell>
          <cell r="AG153">
            <v>-427980.43</v>
          </cell>
          <cell r="AH153">
            <v>-417780.23</v>
          </cell>
          <cell r="AI153">
            <v>-459577.04</v>
          </cell>
          <cell r="AJ153">
            <v>-378295.55</v>
          </cell>
          <cell r="AK153">
            <v>-334710.21999999997</v>
          </cell>
          <cell r="AL153">
            <v>-324394.89</v>
          </cell>
          <cell r="AM153">
            <v>-348172.75</v>
          </cell>
          <cell r="AN153">
            <v>-308154.53999999998</v>
          </cell>
          <cell r="AO153">
            <v>-287464.53999999998</v>
          </cell>
          <cell r="AP153">
            <v>-382432.61</v>
          </cell>
          <cell r="AQ153">
            <v>-330258.15000000002</v>
          </cell>
          <cell r="AR153">
            <v>-413269.77</v>
          </cell>
          <cell r="AS153">
            <v>-334695.53000000003</v>
          </cell>
          <cell r="AT153">
            <v>-343338.03</v>
          </cell>
          <cell r="AU153">
            <v>-488691.16</v>
          </cell>
          <cell r="AV153">
            <v>-384924.71</v>
          </cell>
          <cell r="AW153">
            <v>-380035.14</v>
          </cell>
          <cell r="AX153">
            <v>-403856.21</v>
          </cell>
          <cell r="AY153">
            <v>-346076.29</v>
          </cell>
          <cell r="AZ153">
            <v>-370027.33</v>
          </cell>
          <cell r="BA153">
            <v>-335077.32</v>
          </cell>
          <cell r="BB153">
            <v>-389782.29</v>
          </cell>
          <cell r="BC153">
            <v>-365805.78</v>
          </cell>
          <cell r="BD153">
            <v>-374709.53</v>
          </cell>
          <cell r="BE153">
            <v>-402514.72</v>
          </cell>
          <cell r="BF153">
            <v>-383667.04</v>
          </cell>
          <cell r="BG153">
            <v>-542998.73</v>
          </cell>
          <cell r="BH153">
            <v>-482940.07</v>
          </cell>
          <cell r="BI153">
            <v>-907261.51</v>
          </cell>
          <cell r="BJ153">
            <v>-707589.8</v>
          </cell>
          <cell r="BK153">
            <v>-644405.22</v>
          </cell>
          <cell r="BL153">
            <v>-584679.62</v>
          </cell>
          <cell r="BM153">
            <v>-465463.27</v>
          </cell>
          <cell r="BN153">
            <v>-532751.46</v>
          </cell>
          <cell r="BO153">
            <v>-474564.4</v>
          </cell>
          <cell r="BP153">
            <v>-477933.41</v>
          </cell>
          <cell r="BQ153">
            <v>-454447.32</v>
          </cell>
          <cell r="BR153">
            <v>-485072.63</v>
          </cell>
          <cell r="BS153">
            <v>-483987.27</v>
          </cell>
          <cell r="BT153">
            <v>-455116.79</v>
          </cell>
          <cell r="BU153">
            <v>-495885.91</v>
          </cell>
          <cell r="BV153">
            <v>-428304.2</v>
          </cell>
          <cell r="BW153">
            <v>-506038.2</v>
          </cell>
          <cell r="BX153">
            <v>-476676.28</v>
          </cell>
          <cell r="BY153">
            <v>-444342.28</v>
          </cell>
          <cell r="BZ153">
            <v>-500429.97</v>
          </cell>
          <cell r="CA153">
            <v>-468588.49</v>
          </cell>
          <cell r="CB153">
            <v>-598264.98</v>
          </cell>
          <cell r="CC153">
            <v>-552419.28</v>
          </cell>
          <cell r="CD153">
            <v>-575609.87</v>
          </cell>
          <cell r="CE153">
            <v>-464216.31</v>
          </cell>
          <cell r="CF153">
            <v>-541237.72</v>
          </cell>
          <cell r="CG153">
            <v>-613356.75</v>
          </cell>
          <cell r="CH153">
            <v>-676878.01</v>
          </cell>
          <cell r="CI153">
            <v>-689529.56</v>
          </cell>
          <cell r="CJ153">
            <v>-532750.43000000005</v>
          </cell>
          <cell r="CK153">
            <v>-647225.18999999994</v>
          </cell>
          <cell r="CL153">
            <v>-716849.66</v>
          </cell>
          <cell r="CM153">
            <v>-683520.07</v>
          </cell>
          <cell r="CN153">
            <v>-680042.97</v>
          </cell>
          <cell r="CO153">
            <v>-674542.17</v>
          </cell>
          <cell r="CP153">
            <v>-696240.98</v>
          </cell>
          <cell r="CQ153">
            <v>-670679.44999999995</v>
          </cell>
          <cell r="CR153">
            <v>-815495.44</v>
          </cell>
          <cell r="CS153">
            <v>-747224.63</v>
          </cell>
          <cell r="CT153">
            <v>-726249.78</v>
          </cell>
          <cell r="CU153">
            <v>-778460.84</v>
          </cell>
          <cell r="CV153">
            <v>-491489.7</v>
          </cell>
          <cell r="CW153">
            <v>-582695.12</v>
          </cell>
          <cell r="CX153">
            <v>-604880.06999999995</v>
          </cell>
          <cell r="CY153">
            <v>-519717.72</v>
          </cell>
          <cell r="CZ153">
            <v>-630692.62</v>
          </cell>
          <cell r="DA153">
            <v>-636347.11</v>
          </cell>
          <cell r="DB153">
            <v>-701258.19</v>
          </cell>
          <cell r="DC153">
            <v>-729808.41</v>
          </cell>
          <cell r="DD153">
            <v>-680392.93</v>
          </cell>
          <cell r="DE153">
            <v>-647337.25</v>
          </cell>
          <cell r="DF153">
            <v>-591617.68000000005</v>
          </cell>
          <cell r="DG153">
            <v>-687730.76</v>
          </cell>
          <cell r="DH153">
            <v>-7503967.5599999996</v>
          </cell>
        </row>
        <row r="154">
          <cell r="A154" t="str">
            <v>6019910</v>
          </cell>
          <cell r="B154" t="str">
            <v>6019910</v>
          </cell>
          <cell r="C154" t="str">
            <v>OT LbrBen to BalSht</v>
          </cell>
          <cell r="D154">
            <v>-34881.93</v>
          </cell>
          <cell r="E154">
            <v>-33750.76</v>
          </cell>
          <cell r="F154">
            <v>-39498.300000000003</v>
          </cell>
          <cell r="G154">
            <v>-42403.11</v>
          </cell>
          <cell r="H154">
            <v>-51484.43</v>
          </cell>
          <cell r="I154">
            <v>-38548.230000000003</v>
          </cell>
          <cell r="J154">
            <v>-39699.47</v>
          </cell>
          <cell r="K154">
            <v>-68918.679999999993</v>
          </cell>
          <cell r="L154">
            <v>-84317.6</v>
          </cell>
          <cell r="M154">
            <v>-79484.039999999994</v>
          </cell>
          <cell r="N154">
            <v>-82362.7</v>
          </cell>
          <cell r="O154">
            <v>-76641.850000000006</v>
          </cell>
          <cell r="P154">
            <v>-60163.97</v>
          </cell>
          <cell r="Q154">
            <v>-41244.5</v>
          </cell>
          <cell r="R154">
            <v>-77431.990000000005</v>
          </cell>
          <cell r="S154">
            <v>-48683.66</v>
          </cell>
          <cell r="T154">
            <v>-86649.65</v>
          </cell>
          <cell r="U154">
            <v>-69488.89</v>
          </cell>
          <cell r="V154">
            <v>-69698.39</v>
          </cell>
          <cell r="W154">
            <v>-73526.89</v>
          </cell>
          <cell r="X154">
            <v>-56612.41</v>
          </cell>
          <cell r="Y154">
            <v>-71237.149999999994</v>
          </cell>
          <cell r="Z154">
            <v>-86014.84</v>
          </cell>
          <cell r="AA154">
            <v>-142692.04999999999</v>
          </cell>
          <cell r="AB154">
            <v>-48359.89</v>
          </cell>
          <cell r="AC154">
            <v>-57141.5</v>
          </cell>
          <cell r="AD154">
            <v>-69073.78</v>
          </cell>
          <cell r="AE154">
            <v>-59499.07</v>
          </cell>
          <cell r="AF154">
            <v>-59221.18</v>
          </cell>
          <cell r="AG154">
            <v>-61461.69</v>
          </cell>
          <cell r="AH154">
            <v>-65039.15</v>
          </cell>
          <cell r="AI154">
            <v>-66075.520000000004</v>
          </cell>
          <cell r="AJ154">
            <v>-66498.2</v>
          </cell>
          <cell r="AK154">
            <v>-150670.99</v>
          </cell>
          <cell r="AL154">
            <v>-64510.239999999998</v>
          </cell>
          <cell r="AM154">
            <v>-93801.61</v>
          </cell>
          <cell r="AN154">
            <v>-51286.559999999998</v>
          </cell>
          <cell r="AO154">
            <v>-64887.17</v>
          </cell>
          <cell r="AP154">
            <v>-66498.39</v>
          </cell>
          <cell r="AQ154">
            <v>-98184.58</v>
          </cell>
          <cell r="AR154">
            <v>-74503.28</v>
          </cell>
          <cell r="AS154">
            <v>-65837.58</v>
          </cell>
          <cell r="AT154">
            <v>-61526.34</v>
          </cell>
          <cell r="AU154">
            <v>-84161.1</v>
          </cell>
          <cell r="AV154">
            <v>-151811.16</v>
          </cell>
          <cell r="AW154">
            <v>-82076.22</v>
          </cell>
          <cell r="AX154">
            <v>-117476.35</v>
          </cell>
          <cell r="AY154">
            <v>-81959.429999999993</v>
          </cell>
          <cell r="AZ154">
            <v>-77313.22</v>
          </cell>
          <cell r="BA154">
            <v>-83203.98</v>
          </cell>
          <cell r="BB154">
            <v>-63184.31</v>
          </cell>
          <cell r="BC154">
            <v>-68799.13</v>
          </cell>
          <cell r="BD154">
            <v>-56310.239999999998</v>
          </cell>
          <cell r="BE154">
            <v>-58128.33</v>
          </cell>
          <cell r="BF154">
            <v>-63394.25</v>
          </cell>
          <cell r="BG154">
            <v>-81013.02</v>
          </cell>
          <cell r="BH154">
            <v>-90887.97</v>
          </cell>
          <cell r="BI154">
            <v>-596337.19999999995</v>
          </cell>
          <cell r="BJ154">
            <v>-368565.12</v>
          </cell>
          <cell r="BK154">
            <v>-131559.96</v>
          </cell>
          <cell r="BL154">
            <v>-100447.99</v>
          </cell>
          <cell r="BM154">
            <v>-72955.22</v>
          </cell>
          <cell r="BN154">
            <v>-64315.45</v>
          </cell>
          <cell r="BO154">
            <v>-72700.72</v>
          </cell>
          <cell r="BP154">
            <v>-89418.38</v>
          </cell>
          <cell r="BQ154">
            <v>-66315.97</v>
          </cell>
          <cell r="BR154">
            <v>-67379.399999999994</v>
          </cell>
          <cell r="BS154">
            <v>-81053.48</v>
          </cell>
          <cell r="BT154">
            <v>-66158.3</v>
          </cell>
          <cell r="BU154">
            <v>-82997.39</v>
          </cell>
          <cell r="BV154">
            <v>-72749.960000000006</v>
          </cell>
          <cell r="BW154">
            <v>-121794.16</v>
          </cell>
          <cell r="BX154">
            <v>-105185.26</v>
          </cell>
          <cell r="BY154">
            <v>-66569.399999999994</v>
          </cell>
          <cell r="BZ154">
            <v>-86937.4</v>
          </cell>
          <cell r="CA154">
            <v>-39094.79</v>
          </cell>
          <cell r="CB154">
            <v>-33617.5</v>
          </cell>
          <cell r="CC154">
            <v>-47989.85</v>
          </cell>
          <cell r="CD154">
            <v>-62520.15</v>
          </cell>
          <cell r="CE154">
            <v>-85945.91</v>
          </cell>
          <cell r="CF154">
            <v>-75018.990000000005</v>
          </cell>
          <cell r="CG154">
            <v>-95185.9</v>
          </cell>
          <cell r="CH154">
            <v>-136228.85</v>
          </cell>
          <cell r="CI154">
            <v>-125766.88</v>
          </cell>
          <cell r="CJ154">
            <v>-94568.77</v>
          </cell>
          <cell r="CK154">
            <v>-86407.41</v>
          </cell>
          <cell r="CL154">
            <v>-107875.88</v>
          </cell>
          <cell r="CM154">
            <v>-97068.56</v>
          </cell>
          <cell r="CN154">
            <v>-116449.31</v>
          </cell>
          <cell r="CO154">
            <v>-114814.39999999999</v>
          </cell>
          <cell r="CP154">
            <v>-125281.27</v>
          </cell>
          <cell r="CQ154">
            <v>-112991.1</v>
          </cell>
          <cell r="CR154">
            <v>-104697.83</v>
          </cell>
          <cell r="CS154">
            <v>-121940.85</v>
          </cell>
          <cell r="CT154">
            <v>-106943.98</v>
          </cell>
          <cell r="CU154">
            <v>-124223.35</v>
          </cell>
          <cell r="CV154">
            <v>-88364.49</v>
          </cell>
          <cell r="CW154">
            <v>-82207.070000000007</v>
          </cell>
          <cell r="CX154">
            <v>-83101.62</v>
          </cell>
          <cell r="CY154">
            <v>-82971.67</v>
          </cell>
          <cell r="CZ154">
            <v>-83661.17</v>
          </cell>
          <cell r="DA154">
            <v>-95188.77</v>
          </cell>
          <cell r="DB154">
            <v>-96844.46</v>
          </cell>
          <cell r="DC154">
            <v>-100252.65</v>
          </cell>
          <cell r="DD154">
            <v>-71487.009999999995</v>
          </cell>
          <cell r="DE154">
            <v>-70239.67</v>
          </cell>
          <cell r="DF154">
            <v>-74824.12</v>
          </cell>
          <cell r="DG154">
            <v>-87312.07</v>
          </cell>
          <cell r="DH154">
            <v>-1016454.77</v>
          </cell>
        </row>
        <row r="155">
          <cell r="A155" t="str">
            <v>6020010</v>
          </cell>
          <cell r="B155" t="str">
            <v>6020010</v>
          </cell>
          <cell r="C155" t="str">
            <v>Ben Plan Admin Fee</v>
          </cell>
          <cell r="D155">
            <v>5742.89</v>
          </cell>
          <cell r="E155">
            <v>8383.6</v>
          </cell>
          <cell r="F155">
            <v>5756.23</v>
          </cell>
          <cell r="G155">
            <v>8592.99</v>
          </cell>
          <cell r="H155">
            <v>5770.43</v>
          </cell>
          <cell r="I155">
            <v>5736.55</v>
          </cell>
          <cell r="J155">
            <v>8428.25</v>
          </cell>
          <cell r="K155">
            <v>5717.38</v>
          </cell>
          <cell r="L155">
            <v>5770.76</v>
          </cell>
          <cell r="M155">
            <v>5706.22</v>
          </cell>
          <cell r="N155">
            <v>8588.56</v>
          </cell>
          <cell r="O155">
            <v>5820.32</v>
          </cell>
          <cell r="P155">
            <v>5787.25</v>
          </cell>
          <cell r="Q155">
            <v>8564.2999999999993</v>
          </cell>
          <cell r="R155">
            <v>5680.11</v>
          </cell>
          <cell r="S155">
            <v>5685.31</v>
          </cell>
          <cell r="T155">
            <v>8384.3700000000008</v>
          </cell>
          <cell r="U155">
            <v>5686.93</v>
          </cell>
          <cell r="V155">
            <v>8653.8700000000008</v>
          </cell>
          <cell r="W155">
            <v>5724.73</v>
          </cell>
          <cell r="X155">
            <v>5720.22</v>
          </cell>
          <cell r="Y155">
            <v>0</v>
          </cell>
          <cell r="Z155">
            <v>14430.17</v>
          </cell>
          <cell r="AA155">
            <v>6040.03</v>
          </cell>
          <cell r="AB155">
            <v>8786.24</v>
          </cell>
          <cell r="AC155">
            <v>6101.03</v>
          </cell>
          <cell r="AD155">
            <v>6101.82</v>
          </cell>
          <cell r="AE155">
            <v>6114.41</v>
          </cell>
          <cell r="AF155">
            <v>8494.51</v>
          </cell>
          <cell r="AG155">
            <v>8366.85</v>
          </cell>
          <cell r="AH155">
            <v>6432.26</v>
          </cell>
          <cell r="AI155">
            <v>7592</v>
          </cell>
          <cell r="AJ155">
            <v>7008.39</v>
          </cell>
          <cell r="AK155">
            <v>6480.03</v>
          </cell>
          <cell r="AL155">
            <v>7051.05</v>
          </cell>
          <cell r="AM155">
            <v>7629.31</v>
          </cell>
          <cell r="AN155">
            <v>7182.31</v>
          </cell>
          <cell r="AO155">
            <v>4954.2700000000004</v>
          </cell>
          <cell r="AP155">
            <v>9779.91</v>
          </cell>
          <cell r="AQ155">
            <v>7334.49</v>
          </cell>
          <cell r="AR155">
            <v>6746.91</v>
          </cell>
          <cell r="AS155">
            <v>6950.15</v>
          </cell>
          <cell r="AT155">
            <v>6932.93</v>
          </cell>
          <cell r="AU155">
            <v>8050.59</v>
          </cell>
          <cell r="AV155">
            <v>9223.18</v>
          </cell>
          <cell r="AW155">
            <v>6929.52</v>
          </cell>
          <cell r="AX155">
            <v>8078.67</v>
          </cell>
          <cell r="AY155">
            <v>6980.92</v>
          </cell>
          <cell r="AZ155">
            <v>7267.32</v>
          </cell>
          <cell r="BA155">
            <v>5467.57</v>
          </cell>
          <cell r="BB155">
            <v>8944.1</v>
          </cell>
          <cell r="BC155">
            <v>6057.64</v>
          </cell>
          <cell r="BD155">
            <v>7890.54</v>
          </cell>
          <cell r="BE155">
            <v>6650.31</v>
          </cell>
          <cell r="BF155">
            <v>8425.1299999999992</v>
          </cell>
          <cell r="BG155">
            <v>7446.02</v>
          </cell>
          <cell r="BH155">
            <v>7297.11</v>
          </cell>
          <cell r="BI155">
            <v>7973.91</v>
          </cell>
          <cell r="BJ155">
            <v>7434.04</v>
          </cell>
          <cell r="BK155">
            <v>6898.16</v>
          </cell>
          <cell r="BL155">
            <v>4169.1000000000004</v>
          </cell>
          <cell r="BM155">
            <v>6520.78</v>
          </cell>
          <cell r="BN155">
            <v>4349.0600000000004</v>
          </cell>
          <cell r="BO155">
            <v>8054.37</v>
          </cell>
          <cell r="BP155">
            <v>4330.29</v>
          </cell>
          <cell r="BQ155">
            <v>4580.7299999999996</v>
          </cell>
          <cell r="BR155">
            <v>4893.76</v>
          </cell>
          <cell r="BS155">
            <v>5003.6400000000003</v>
          </cell>
          <cell r="BT155">
            <v>4830.84</v>
          </cell>
          <cell r="BU155">
            <v>3843.08</v>
          </cell>
          <cell r="BV155">
            <v>5268.36</v>
          </cell>
          <cell r="BW155">
            <v>5090.57</v>
          </cell>
          <cell r="BX155">
            <v>3205.28</v>
          </cell>
          <cell r="BY155">
            <v>4471.03</v>
          </cell>
          <cell r="BZ155">
            <v>3674.79</v>
          </cell>
          <cell r="CA155">
            <v>7162.91</v>
          </cell>
          <cell r="CB155">
            <v>2091.96</v>
          </cell>
          <cell r="CC155">
            <v>7535.05</v>
          </cell>
          <cell r="CD155">
            <v>5147.38</v>
          </cell>
          <cell r="CE155">
            <v>5008.92</v>
          </cell>
          <cell r="CF155">
            <v>989.04</v>
          </cell>
          <cell r="CG155">
            <v>8380.84</v>
          </cell>
          <cell r="CH155">
            <v>5532.3</v>
          </cell>
          <cell r="CI155">
            <v>4809.63</v>
          </cell>
          <cell r="CJ155">
            <v>4523.57</v>
          </cell>
          <cell r="CK155">
            <v>4408.75</v>
          </cell>
          <cell r="CL155">
            <v>5586.11</v>
          </cell>
          <cell r="CM155">
            <v>3581.58</v>
          </cell>
          <cell r="CN155">
            <v>5276.05</v>
          </cell>
          <cell r="CO155">
            <v>4337.71</v>
          </cell>
          <cell r="CP155">
            <v>5929.56</v>
          </cell>
          <cell r="CQ155">
            <v>4877.12</v>
          </cell>
          <cell r="CR155">
            <v>3940.36</v>
          </cell>
          <cell r="CS155">
            <v>3519.54</v>
          </cell>
          <cell r="CT155">
            <v>5754.74</v>
          </cell>
          <cell r="CU155">
            <v>5169.38</v>
          </cell>
          <cell r="CV155">
            <v>5255.82</v>
          </cell>
          <cell r="CW155">
            <v>4381.72</v>
          </cell>
          <cell r="CX155">
            <v>5757.93</v>
          </cell>
          <cell r="CY155">
            <v>3890.06</v>
          </cell>
          <cell r="CZ155">
            <v>5578.97</v>
          </cell>
          <cell r="DA155">
            <v>3915.08</v>
          </cell>
          <cell r="DB155">
            <v>5708.92</v>
          </cell>
          <cell r="DC155">
            <v>3051.46</v>
          </cell>
          <cell r="DD155">
            <v>4400.13</v>
          </cell>
          <cell r="DE155">
            <v>5324.67</v>
          </cell>
          <cell r="DF155">
            <v>5958.44</v>
          </cell>
          <cell r="DG155">
            <v>6803.22</v>
          </cell>
          <cell r="DH155">
            <v>60026.42</v>
          </cell>
        </row>
        <row r="156">
          <cell r="A156" t="str">
            <v>6020020</v>
          </cell>
          <cell r="B156" t="str">
            <v>6020020</v>
          </cell>
          <cell r="C156" t="str">
            <v>Tuition Reimbursemnt</v>
          </cell>
          <cell r="D156">
            <v>3827.33</v>
          </cell>
          <cell r="E156">
            <v>0</v>
          </cell>
          <cell r="F156">
            <v>1866.38</v>
          </cell>
          <cell r="G156">
            <v>2425.04</v>
          </cell>
          <cell r="H156">
            <v>9718.09</v>
          </cell>
          <cell r="I156">
            <v>5656.35</v>
          </cell>
          <cell r="J156">
            <v>4102.8999999999996</v>
          </cell>
          <cell r="K156">
            <v>5303.26</v>
          </cell>
          <cell r="L156">
            <v>3467.26</v>
          </cell>
          <cell r="M156">
            <v>7945.13</v>
          </cell>
          <cell r="N156">
            <v>0</v>
          </cell>
          <cell r="O156">
            <v>9551.83</v>
          </cell>
          <cell r="P156">
            <v>3144.59</v>
          </cell>
          <cell r="Q156">
            <v>0</v>
          </cell>
          <cell r="R156">
            <v>6500.72</v>
          </cell>
          <cell r="S156">
            <v>1728.32</v>
          </cell>
          <cell r="T156">
            <v>11002.73</v>
          </cell>
          <cell r="U156">
            <v>2291.6</v>
          </cell>
          <cell r="V156">
            <v>9850.2800000000007</v>
          </cell>
          <cell r="W156">
            <v>11920.59</v>
          </cell>
          <cell r="X156">
            <v>693</v>
          </cell>
          <cell r="Y156">
            <v>6089.23</v>
          </cell>
          <cell r="Z156">
            <v>1453.17</v>
          </cell>
          <cell r="AA156">
            <v>8203.67</v>
          </cell>
          <cell r="AB156">
            <v>10560.69</v>
          </cell>
          <cell r="AC156">
            <v>0</v>
          </cell>
          <cell r="AD156">
            <v>5630.87</v>
          </cell>
          <cell r="AE156">
            <v>0</v>
          </cell>
          <cell r="AF156">
            <v>9804.32</v>
          </cell>
          <cell r="AG156">
            <v>2628.32</v>
          </cell>
          <cell r="AH156">
            <v>1945.68</v>
          </cell>
          <cell r="AI156">
            <v>5715.09</v>
          </cell>
          <cell r="AJ156">
            <v>1511.64</v>
          </cell>
          <cell r="AK156">
            <v>1314.89</v>
          </cell>
          <cell r="AL156">
            <v>2680.94</v>
          </cell>
          <cell r="AM156">
            <v>6974.93</v>
          </cell>
          <cell r="AN156">
            <v>1084.45</v>
          </cell>
          <cell r="AO156">
            <v>3784.74</v>
          </cell>
          <cell r="AP156">
            <v>5598.52</v>
          </cell>
          <cell r="AQ156">
            <v>0</v>
          </cell>
          <cell r="AR156">
            <v>6579.64</v>
          </cell>
          <cell r="AS156">
            <v>-600</v>
          </cell>
          <cell r="AT156">
            <v>6475.38</v>
          </cell>
          <cell r="AU156">
            <v>2677.15</v>
          </cell>
          <cell r="AV156">
            <v>3613.03</v>
          </cell>
          <cell r="AW156">
            <v>2198.34</v>
          </cell>
          <cell r="AX156">
            <v>313.17</v>
          </cell>
          <cell r="AY156">
            <v>5981.4</v>
          </cell>
          <cell r="AZ156">
            <v>6486.19</v>
          </cell>
          <cell r="BA156">
            <v>0</v>
          </cell>
          <cell r="BB156">
            <v>1143.0999999999999</v>
          </cell>
          <cell r="BC156">
            <v>0</v>
          </cell>
          <cell r="BD156">
            <v>1278.77</v>
          </cell>
          <cell r="BE156">
            <v>313.17</v>
          </cell>
          <cell r="BF156">
            <v>2490.16</v>
          </cell>
          <cell r="BG156">
            <v>3094.75</v>
          </cell>
          <cell r="BH156">
            <v>8109.39</v>
          </cell>
          <cell r="BI156">
            <v>3345.2</v>
          </cell>
          <cell r="BJ156">
            <v>778.14</v>
          </cell>
          <cell r="BK156">
            <v>4114.47</v>
          </cell>
          <cell r="BL156">
            <v>479.52</v>
          </cell>
          <cell r="BM156">
            <v>0</v>
          </cell>
          <cell r="BN156">
            <v>4175.83</v>
          </cell>
          <cell r="BO156">
            <v>0</v>
          </cell>
          <cell r="BP156">
            <v>7025.63</v>
          </cell>
          <cell r="BQ156">
            <v>1673.7</v>
          </cell>
          <cell r="BR156">
            <v>456.37</v>
          </cell>
          <cell r="BS156">
            <v>7024.85</v>
          </cell>
          <cell r="BT156">
            <v>5557.48</v>
          </cell>
          <cell r="BU156">
            <v>10275.25</v>
          </cell>
          <cell r="BV156">
            <v>2299.25</v>
          </cell>
          <cell r="BW156">
            <v>7585.29</v>
          </cell>
          <cell r="BX156">
            <v>5152.88</v>
          </cell>
          <cell r="BY156">
            <v>0</v>
          </cell>
          <cell r="BZ156">
            <v>4987.41</v>
          </cell>
          <cell r="CA156">
            <v>313.17</v>
          </cell>
          <cell r="CB156">
            <v>8401.26</v>
          </cell>
          <cell r="CC156">
            <v>1608.57</v>
          </cell>
          <cell r="CD156">
            <v>9938.5300000000007</v>
          </cell>
          <cell r="CE156">
            <v>0</v>
          </cell>
          <cell r="CF156">
            <v>6520.83</v>
          </cell>
          <cell r="CG156">
            <v>10282.540000000001</v>
          </cell>
          <cell r="CH156">
            <v>0</v>
          </cell>
          <cell r="CI156">
            <v>2102</v>
          </cell>
          <cell r="CJ156">
            <v>0</v>
          </cell>
          <cell r="CK156">
            <v>2569.79</v>
          </cell>
          <cell r="CL156">
            <v>3085.73</v>
          </cell>
          <cell r="CM156">
            <v>0</v>
          </cell>
          <cell r="CN156">
            <v>16000.11</v>
          </cell>
          <cell r="CO156">
            <v>3267.75</v>
          </cell>
          <cell r="CP156">
            <v>7384.64</v>
          </cell>
          <cell r="CQ156">
            <v>1720.57</v>
          </cell>
          <cell r="CR156">
            <v>2648.31</v>
          </cell>
          <cell r="CS156">
            <v>3251.96</v>
          </cell>
          <cell r="CT156">
            <v>670.57</v>
          </cell>
          <cell r="CU156">
            <v>10121.32</v>
          </cell>
          <cell r="CV156">
            <v>7165.71</v>
          </cell>
          <cell r="CW156">
            <v>5171.25</v>
          </cell>
          <cell r="CX156">
            <v>4546.78</v>
          </cell>
          <cell r="CY156">
            <v>2100</v>
          </cell>
          <cell r="CZ156">
            <v>8133.35</v>
          </cell>
          <cell r="DA156">
            <v>6692.42</v>
          </cell>
          <cell r="DB156">
            <v>3080.8</v>
          </cell>
          <cell r="DC156">
            <v>3312.37</v>
          </cell>
          <cell r="DD156">
            <v>11273.47</v>
          </cell>
          <cell r="DE156">
            <v>1417.88</v>
          </cell>
          <cell r="DF156">
            <v>1348</v>
          </cell>
          <cell r="DG156">
            <v>359.94</v>
          </cell>
          <cell r="DH156">
            <v>54601.97</v>
          </cell>
        </row>
        <row r="157">
          <cell r="A157" t="str">
            <v>6020030</v>
          </cell>
          <cell r="B157" t="str">
            <v>6020030</v>
          </cell>
          <cell r="C157" t="str">
            <v>Life Insurance</v>
          </cell>
          <cell r="D157">
            <v>5271.93</v>
          </cell>
          <cell r="E157">
            <v>7101.76</v>
          </cell>
          <cell r="F157">
            <v>7114.74</v>
          </cell>
          <cell r="G157">
            <v>7054.32</v>
          </cell>
          <cell r="H157">
            <v>7065.84</v>
          </cell>
          <cell r="I157">
            <v>7066.17</v>
          </cell>
          <cell r="J157">
            <v>7072.53</v>
          </cell>
          <cell r="K157">
            <v>7089.62</v>
          </cell>
          <cell r="L157">
            <v>7118.53</v>
          </cell>
          <cell r="M157">
            <v>7120.87</v>
          </cell>
          <cell r="N157">
            <v>7136.27</v>
          </cell>
          <cell r="O157">
            <v>3307.67</v>
          </cell>
          <cell r="P157">
            <v>3221.77</v>
          </cell>
          <cell r="Q157">
            <v>3175.85</v>
          </cell>
          <cell r="R157">
            <v>3203.85</v>
          </cell>
          <cell r="S157">
            <v>3188.1</v>
          </cell>
          <cell r="T157">
            <v>3190.34</v>
          </cell>
          <cell r="U157">
            <v>3187.47</v>
          </cell>
          <cell r="V157">
            <v>3177.11</v>
          </cell>
          <cell r="W157">
            <v>3175.57</v>
          </cell>
          <cell r="X157">
            <v>3195.38</v>
          </cell>
          <cell r="Y157">
            <v>0</v>
          </cell>
          <cell r="Z157">
            <v>6473.99</v>
          </cell>
          <cell r="AA157">
            <v>3289.32</v>
          </cell>
          <cell r="AB157">
            <v>3354.86</v>
          </cell>
          <cell r="AC157">
            <v>3397.7</v>
          </cell>
          <cell r="AD157">
            <v>3394.9</v>
          </cell>
          <cell r="AE157">
            <v>3404.28</v>
          </cell>
          <cell r="AF157">
            <v>3433.05</v>
          </cell>
          <cell r="AG157">
            <v>3432.42</v>
          </cell>
          <cell r="AH157">
            <v>3466.23</v>
          </cell>
          <cell r="AI157">
            <v>3495.28</v>
          </cell>
          <cell r="AJ157">
            <v>3536.16</v>
          </cell>
          <cell r="AK157">
            <v>3570.52</v>
          </cell>
          <cell r="AL157">
            <v>3569.55</v>
          </cell>
          <cell r="AM157">
            <v>3552.26</v>
          </cell>
          <cell r="AN157">
            <v>3609.78</v>
          </cell>
          <cell r="AO157">
            <v>73.5</v>
          </cell>
          <cell r="AP157">
            <v>17413.64</v>
          </cell>
          <cell r="AQ157">
            <v>6932.99</v>
          </cell>
          <cell r="AR157">
            <v>6918.78</v>
          </cell>
          <cell r="AS157">
            <v>6974.35</v>
          </cell>
          <cell r="AT157">
            <v>6925.46</v>
          </cell>
          <cell r="AU157">
            <v>7122.48</v>
          </cell>
          <cell r="AV157">
            <v>7184.02</v>
          </cell>
          <cell r="AW157">
            <v>7187.2</v>
          </cell>
          <cell r="AX157">
            <v>7189.98</v>
          </cell>
          <cell r="AY157">
            <v>7199.76</v>
          </cell>
          <cell r="AZ157">
            <v>7369.66</v>
          </cell>
          <cell r="BA157">
            <v>7315.59</v>
          </cell>
          <cell r="BB157">
            <v>7460.9</v>
          </cell>
          <cell r="BC157">
            <v>7477.46</v>
          </cell>
          <cell r="BD157">
            <v>7530.05</v>
          </cell>
          <cell r="BE157">
            <v>7491.39</v>
          </cell>
          <cell r="BF157">
            <v>7485.46</v>
          </cell>
          <cell r="BG157">
            <v>7729.23</v>
          </cell>
          <cell r="BH157">
            <v>7744.3</v>
          </cell>
          <cell r="BI157">
            <v>7877.07</v>
          </cell>
          <cell r="BJ157">
            <v>7997.1</v>
          </cell>
          <cell r="BK157">
            <v>7977.16</v>
          </cell>
          <cell r="BL157">
            <v>0</v>
          </cell>
          <cell r="BM157">
            <v>177.84</v>
          </cell>
          <cell r="BN157">
            <v>6624.31</v>
          </cell>
          <cell r="BO157">
            <v>6629.11</v>
          </cell>
          <cell r="BP157">
            <v>6658.06</v>
          </cell>
          <cell r="BQ157">
            <v>7104.33</v>
          </cell>
          <cell r="BR157">
            <v>6731.47</v>
          </cell>
          <cell r="BS157">
            <v>6752.79</v>
          </cell>
          <cell r="BT157">
            <v>7263.47</v>
          </cell>
          <cell r="BU157">
            <v>0</v>
          </cell>
          <cell r="BV157">
            <v>14673.68</v>
          </cell>
          <cell r="BW157">
            <v>14304.33</v>
          </cell>
          <cell r="BX157">
            <v>6000</v>
          </cell>
          <cell r="BY157">
            <v>8622.19</v>
          </cell>
          <cell r="BZ157">
            <v>7754.41</v>
          </cell>
          <cell r="CA157">
            <v>7176.7</v>
          </cell>
          <cell r="CB157">
            <v>7701.91</v>
          </cell>
          <cell r="CC157">
            <v>7496.76</v>
          </cell>
          <cell r="CD157">
            <v>7566.07</v>
          </cell>
          <cell r="CE157">
            <v>7592.75</v>
          </cell>
          <cell r="CF157">
            <v>7619.76</v>
          </cell>
          <cell r="CG157">
            <v>7660.35</v>
          </cell>
          <cell r="CH157">
            <v>7662.29</v>
          </cell>
          <cell r="CI157">
            <v>7507.7</v>
          </cell>
          <cell r="CJ157">
            <v>8015.45</v>
          </cell>
          <cell r="CK157">
            <v>7811.73</v>
          </cell>
          <cell r="CL157">
            <v>7841.72</v>
          </cell>
          <cell r="CM157">
            <v>7755.53</v>
          </cell>
          <cell r="CN157">
            <v>7549.65</v>
          </cell>
          <cell r="CO157">
            <v>7891.42</v>
          </cell>
          <cell r="CP157">
            <v>7768.64</v>
          </cell>
          <cell r="CQ157">
            <v>7788.82</v>
          </cell>
          <cell r="CR157">
            <v>7887.43</v>
          </cell>
          <cell r="CS157">
            <v>0</v>
          </cell>
          <cell r="CT157">
            <v>7923.23</v>
          </cell>
          <cell r="CU157">
            <v>15996.24</v>
          </cell>
          <cell r="CV157">
            <v>-28.38</v>
          </cell>
          <cell r="CW157">
            <v>0</v>
          </cell>
          <cell r="CX157">
            <v>0</v>
          </cell>
          <cell r="CY157">
            <v>23578.55</v>
          </cell>
          <cell r="CZ157">
            <v>9556.9599999999991</v>
          </cell>
          <cell r="DA157">
            <v>15615.63</v>
          </cell>
          <cell r="DB157">
            <v>8823.35</v>
          </cell>
          <cell r="DC157">
            <v>8773.58</v>
          </cell>
          <cell r="DD157">
            <v>163.19999999999999</v>
          </cell>
          <cell r="DE157">
            <v>163.19999999999999</v>
          </cell>
          <cell r="DF157">
            <v>17810.57</v>
          </cell>
          <cell r="DG157">
            <v>18804.759999999998</v>
          </cell>
          <cell r="DH157">
            <v>103261.41999999997</v>
          </cell>
        </row>
        <row r="158">
          <cell r="A158" t="str">
            <v>6020040</v>
          </cell>
          <cell r="B158" t="str">
            <v>6020040</v>
          </cell>
          <cell r="C158" t="str">
            <v>LT Care Insurance</v>
          </cell>
          <cell r="D158">
            <v>1608.9</v>
          </cell>
          <cell r="E158">
            <v>1608.9</v>
          </cell>
          <cell r="F158">
            <v>1463.5</v>
          </cell>
          <cell r="G158">
            <v>1569.2</v>
          </cell>
          <cell r="H158">
            <v>0</v>
          </cell>
          <cell r="I158">
            <v>3289.1</v>
          </cell>
          <cell r="J158">
            <v>1677.3</v>
          </cell>
          <cell r="K158">
            <v>1644.4</v>
          </cell>
          <cell r="L158">
            <v>1599.6</v>
          </cell>
          <cell r="M158">
            <v>1599.6</v>
          </cell>
          <cell r="N158">
            <v>0</v>
          </cell>
          <cell r="O158">
            <v>3303.2</v>
          </cell>
          <cell r="P158">
            <v>1652.4</v>
          </cell>
          <cell r="Q158">
            <v>1516.5</v>
          </cell>
          <cell r="R158">
            <v>1536.1</v>
          </cell>
          <cell r="S158">
            <v>1536.1</v>
          </cell>
          <cell r="T158">
            <v>1536.1</v>
          </cell>
          <cell r="U158">
            <v>1536.1</v>
          </cell>
          <cell r="V158">
            <v>0</v>
          </cell>
          <cell r="W158">
            <v>3122.3</v>
          </cell>
          <cell r="X158">
            <v>1456.1</v>
          </cell>
          <cell r="Y158">
            <v>1487.9</v>
          </cell>
          <cell r="Z158">
            <v>0</v>
          </cell>
          <cell r="AA158">
            <v>2941</v>
          </cell>
          <cell r="AB158">
            <v>0</v>
          </cell>
          <cell r="AC158">
            <v>2941</v>
          </cell>
          <cell r="AD158">
            <v>1432</v>
          </cell>
          <cell r="AE158">
            <v>1433.7</v>
          </cell>
          <cell r="AF158">
            <v>1584.9</v>
          </cell>
          <cell r="AG158">
            <v>1435.1</v>
          </cell>
          <cell r="AH158">
            <v>1422.5</v>
          </cell>
          <cell r="AI158">
            <v>1437.7</v>
          </cell>
          <cell r="AJ158">
            <v>1157.4000000000001</v>
          </cell>
          <cell r="AK158">
            <v>0</v>
          </cell>
          <cell r="AL158">
            <v>2628.4</v>
          </cell>
          <cell r="AM158">
            <v>1383.8</v>
          </cell>
          <cell r="AN158">
            <v>1301.9000000000001</v>
          </cell>
          <cell r="AO158">
            <v>1310.3</v>
          </cell>
          <cell r="AP158">
            <v>1309.5999999999999</v>
          </cell>
          <cell r="AQ158">
            <v>1288.4000000000001</v>
          </cell>
          <cell r="AR158">
            <v>1258.9000000000001</v>
          </cell>
          <cell r="AS158">
            <v>1268.5999999999999</v>
          </cell>
          <cell r="AT158">
            <v>0</v>
          </cell>
          <cell r="AU158">
            <v>4519.7</v>
          </cell>
          <cell r="AV158">
            <v>0</v>
          </cell>
          <cell r="AW158">
            <v>1525.9</v>
          </cell>
          <cell r="AX158">
            <v>4906.8999999999996</v>
          </cell>
          <cell r="AY158">
            <v>1595.2</v>
          </cell>
          <cell r="AZ158">
            <v>1580.2</v>
          </cell>
          <cell r="BA158">
            <v>1563</v>
          </cell>
          <cell r="BB158">
            <v>1558.1</v>
          </cell>
          <cell r="BC158">
            <v>1574.7</v>
          </cell>
          <cell r="BD158">
            <v>1719.01</v>
          </cell>
          <cell r="BE158">
            <v>1704.5</v>
          </cell>
          <cell r="BF158">
            <v>1561.7</v>
          </cell>
          <cell r="BG158">
            <v>981.9</v>
          </cell>
          <cell r="BH158">
            <v>1987.3</v>
          </cell>
          <cell r="BI158">
            <v>1950.9</v>
          </cell>
          <cell r="BJ158">
            <v>1963.6</v>
          </cell>
          <cell r="BK158">
            <v>2015.1</v>
          </cell>
          <cell r="BL158">
            <v>1930.9</v>
          </cell>
          <cell r="BM158">
            <v>1976.5</v>
          </cell>
          <cell r="BN158">
            <v>1923.9</v>
          </cell>
          <cell r="BO158">
            <v>1944.7</v>
          </cell>
          <cell r="BP158">
            <v>1946.8</v>
          </cell>
          <cell r="BQ158">
            <v>1945.1</v>
          </cell>
          <cell r="BR158">
            <v>1984.4</v>
          </cell>
          <cell r="BS158">
            <v>1942.9</v>
          </cell>
          <cell r="BT158">
            <v>2299.1999999999998</v>
          </cell>
          <cell r="BU158">
            <v>2452.6</v>
          </cell>
          <cell r="BV158">
            <v>2358.4</v>
          </cell>
          <cell r="BW158">
            <v>2350.1</v>
          </cell>
          <cell r="BX158">
            <v>2377</v>
          </cell>
          <cell r="BY158">
            <v>2392.5</v>
          </cell>
          <cell r="BZ158">
            <v>0</v>
          </cell>
          <cell r="CA158">
            <v>2380.6</v>
          </cell>
          <cell r="CB158">
            <v>2453.8000000000002</v>
          </cell>
          <cell r="CC158">
            <v>2427.5</v>
          </cell>
          <cell r="CD158">
            <v>2458.5</v>
          </cell>
          <cell r="CE158">
            <v>2483.4</v>
          </cell>
          <cell r="CF158">
            <v>2912.8</v>
          </cell>
          <cell r="CG158">
            <v>0</v>
          </cell>
          <cell r="CH158">
            <v>2919.6</v>
          </cell>
          <cell r="CI158">
            <v>5881</v>
          </cell>
          <cell r="CJ158">
            <v>0</v>
          </cell>
          <cell r="CK158">
            <v>2905.99</v>
          </cell>
          <cell r="CL158">
            <v>5838.1</v>
          </cell>
          <cell r="CM158">
            <v>0</v>
          </cell>
          <cell r="CN158">
            <v>2918.4</v>
          </cell>
          <cell r="CO158">
            <v>2865.14</v>
          </cell>
          <cell r="CP158">
            <v>5326.5</v>
          </cell>
          <cell r="CQ158">
            <v>0</v>
          </cell>
          <cell r="CR158">
            <v>2919.5</v>
          </cell>
          <cell r="CS158">
            <v>2935.5</v>
          </cell>
          <cell r="CT158">
            <v>0</v>
          </cell>
          <cell r="CU158">
            <v>5737.2</v>
          </cell>
          <cell r="CV158">
            <v>2921.6</v>
          </cell>
          <cell r="CW158">
            <v>2905.1</v>
          </cell>
          <cell r="CX158">
            <v>1098.3</v>
          </cell>
          <cell r="CY158">
            <v>3066.7</v>
          </cell>
          <cell r="CZ158">
            <v>2978.6</v>
          </cell>
          <cell r="DA158">
            <v>12159</v>
          </cell>
          <cell r="DB158">
            <v>0</v>
          </cell>
          <cell r="DC158">
            <v>0</v>
          </cell>
          <cell r="DD158">
            <v>0</v>
          </cell>
          <cell r="DE158">
            <v>0</v>
          </cell>
          <cell r="DF158">
            <v>6439</v>
          </cell>
          <cell r="DG158">
            <v>3330.9</v>
          </cell>
          <cell r="DH158">
            <v>34899.200000000004</v>
          </cell>
        </row>
        <row r="159">
          <cell r="A159" t="str">
            <v>6020050</v>
          </cell>
          <cell r="B159" t="str">
            <v>6020050</v>
          </cell>
          <cell r="C159" t="str">
            <v>Medical Insur-Active</v>
          </cell>
          <cell r="D159">
            <v>369577</v>
          </cell>
          <cell r="E159">
            <v>271332</v>
          </cell>
          <cell r="F159">
            <v>488040</v>
          </cell>
          <cell r="G159">
            <v>257464</v>
          </cell>
          <cell r="H159">
            <v>562679</v>
          </cell>
          <cell r="I159">
            <v>442489</v>
          </cell>
          <cell r="J159">
            <v>366678</v>
          </cell>
          <cell r="K159">
            <v>500791</v>
          </cell>
          <cell r="L159">
            <v>467130</v>
          </cell>
          <cell r="M159">
            <v>323653</v>
          </cell>
          <cell r="N159">
            <v>533974</v>
          </cell>
          <cell r="O159">
            <v>756975</v>
          </cell>
          <cell r="P159">
            <v>329583</v>
          </cell>
          <cell r="Q159">
            <v>346734</v>
          </cell>
          <cell r="R159">
            <v>482012</v>
          </cell>
          <cell r="S159">
            <v>214562</v>
          </cell>
          <cell r="T159">
            <v>602034</v>
          </cell>
          <cell r="U159">
            <v>481944</v>
          </cell>
          <cell r="V159">
            <v>239192</v>
          </cell>
          <cell r="W159">
            <v>572552</v>
          </cell>
          <cell r="X159">
            <v>242693</v>
          </cell>
          <cell r="Y159">
            <v>451930</v>
          </cell>
          <cell r="Z159">
            <v>628955</v>
          </cell>
          <cell r="AA159">
            <v>576677</v>
          </cell>
          <cell r="AB159">
            <v>401747</v>
          </cell>
          <cell r="AC159">
            <v>595715</v>
          </cell>
          <cell r="AD159">
            <v>257689</v>
          </cell>
          <cell r="AE159">
            <v>373084</v>
          </cell>
          <cell r="AF159">
            <v>513336</v>
          </cell>
          <cell r="AG159">
            <v>248101</v>
          </cell>
          <cell r="AH159">
            <v>384441</v>
          </cell>
          <cell r="AI159">
            <v>426890</v>
          </cell>
          <cell r="AJ159">
            <v>270910</v>
          </cell>
          <cell r="AK159">
            <v>505576</v>
          </cell>
          <cell r="AL159">
            <v>407653</v>
          </cell>
          <cell r="AM159">
            <v>638464</v>
          </cell>
          <cell r="AN159">
            <v>434393</v>
          </cell>
          <cell r="AO159">
            <v>260830</v>
          </cell>
          <cell r="AP159">
            <v>238936</v>
          </cell>
          <cell r="AQ159">
            <v>294959</v>
          </cell>
          <cell r="AR159">
            <v>250219.82</v>
          </cell>
          <cell r="AS159">
            <v>341916</v>
          </cell>
          <cell r="AT159">
            <v>308205</v>
          </cell>
          <cell r="AU159">
            <v>480507</v>
          </cell>
          <cell r="AV159">
            <v>178779</v>
          </cell>
          <cell r="AW159">
            <v>309328</v>
          </cell>
          <cell r="AX159">
            <v>513376</v>
          </cell>
          <cell r="AY159">
            <v>262763</v>
          </cell>
          <cell r="AZ159">
            <v>545878</v>
          </cell>
          <cell r="BA159">
            <v>362153</v>
          </cell>
          <cell r="BB159">
            <v>484912</v>
          </cell>
          <cell r="BC159">
            <v>588616</v>
          </cell>
          <cell r="BD159">
            <v>341869</v>
          </cell>
          <cell r="BE159">
            <v>661265</v>
          </cell>
          <cell r="BF159">
            <v>548926</v>
          </cell>
          <cell r="BG159">
            <v>658392</v>
          </cell>
          <cell r="BH159">
            <v>704135</v>
          </cell>
          <cell r="BI159">
            <v>871702</v>
          </cell>
          <cell r="BJ159">
            <v>980181</v>
          </cell>
          <cell r="BK159">
            <v>1002829</v>
          </cell>
          <cell r="BL159">
            <v>932637</v>
          </cell>
          <cell r="BM159">
            <v>500167</v>
          </cell>
          <cell r="BN159">
            <v>523026</v>
          </cell>
          <cell r="BO159">
            <v>588423</v>
          </cell>
          <cell r="BP159">
            <v>687838</v>
          </cell>
          <cell r="BQ159">
            <v>769703</v>
          </cell>
          <cell r="BR159">
            <v>290954</v>
          </cell>
          <cell r="BS159">
            <v>530915</v>
          </cell>
          <cell r="BT159">
            <v>361460</v>
          </cell>
          <cell r="BU159">
            <v>449870</v>
          </cell>
          <cell r="BV159">
            <v>379470</v>
          </cell>
          <cell r="BW159">
            <v>618873</v>
          </cell>
          <cell r="BX159">
            <v>344542</v>
          </cell>
          <cell r="BY159">
            <v>1119698</v>
          </cell>
          <cell r="BZ159">
            <v>489250</v>
          </cell>
          <cell r="CA159">
            <v>477693</v>
          </cell>
          <cell r="CB159">
            <v>306175</v>
          </cell>
          <cell r="CC159">
            <v>356288</v>
          </cell>
          <cell r="CD159">
            <v>393551</v>
          </cell>
          <cell r="CE159">
            <v>371737</v>
          </cell>
          <cell r="CF159">
            <v>281473</v>
          </cell>
          <cell r="CG159">
            <v>627260</v>
          </cell>
          <cell r="CH159">
            <v>973121</v>
          </cell>
          <cell r="CI159">
            <v>674775</v>
          </cell>
          <cell r="CJ159">
            <v>1157394</v>
          </cell>
          <cell r="CK159">
            <v>531719</v>
          </cell>
          <cell r="CL159">
            <v>923070</v>
          </cell>
          <cell r="CM159">
            <v>748611</v>
          </cell>
          <cell r="CN159">
            <v>646097</v>
          </cell>
          <cell r="CO159">
            <v>299837</v>
          </cell>
          <cell r="CP159">
            <v>827019</v>
          </cell>
          <cell r="CQ159">
            <v>1188490</v>
          </cell>
          <cell r="CR159">
            <v>280856.15000000002</v>
          </cell>
          <cell r="CS159">
            <v>740229</v>
          </cell>
          <cell r="CT159">
            <v>892356</v>
          </cell>
          <cell r="CU159">
            <v>637984</v>
          </cell>
          <cell r="CV159">
            <v>747971</v>
          </cell>
          <cell r="CW159">
            <v>290860</v>
          </cell>
          <cell r="CX159">
            <v>480132</v>
          </cell>
          <cell r="CY159">
            <v>650436</v>
          </cell>
          <cell r="CZ159">
            <v>418504</v>
          </cell>
          <cell r="DA159">
            <v>772924</v>
          </cell>
          <cell r="DB159">
            <v>478607</v>
          </cell>
          <cell r="DC159">
            <v>304396</v>
          </cell>
          <cell r="DD159">
            <v>484281</v>
          </cell>
          <cell r="DE159">
            <v>768032</v>
          </cell>
          <cell r="DF159">
            <v>518284</v>
          </cell>
          <cell r="DG159">
            <v>1230874</v>
          </cell>
          <cell r="DH159">
            <v>7145301</v>
          </cell>
        </row>
        <row r="160">
          <cell r="A160" t="str">
            <v>6020060</v>
          </cell>
          <cell r="B160" t="str">
            <v>6020060</v>
          </cell>
          <cell r="C160" t="str">
            <v>Pensions</v>
          </cell>
          <cell r="D160">
            <v>148250</v>
          </cell>
          <cell r="E160">
            <v>148250</v>
          </cell>
          <cell r="F160">
            <v>148250</v>
          </cell>
          <cell r="G160">
            <v>143264</v>
          </cell>
          <cell r="H160">
            <v>147003</v>
          </cell>
          <cell r="I160">
            <v>147003</v>
          </cell>
          <cell r="J160">
            <v>147003</v>
          </cell>
          <cell r="K160">
            <v>147003</v>
          </cell>
          <cell r="L160">
            <v>134418</v>
          </cell>
          <cell r="M160">
            <v>134418</v>
          </cell>
          <cell r="N160">
            <v>134418</v>
          </cell>
          <cell r="O160">
            <v>134418</v>
          </cell>
          <cell r="P160">
            <v>95083</v>
          </cell>
          <cell r="Q160">
            <v>142852</v>
          </cell>
          <cell r="R160">
            <v>118966</v>
          </cell>
          <cell r="S160">
            <v>118966</v>
          </cell>
          <cell r="T160">
            <v>256696</v>
          </cell>
          <cell r="U160">
            <v>146512</v>
          </cell>
          <cell r="V160">
            <v>146512</v>
          </cell>
          <cell r="W160">
            <v>146512</v>
          </cell>
          <cell r="X160">
            <v>146512</v>
          </cell>
          <cell r="Y160">
            <v>146512</v>
          </cell>
          <cell r="Z160">
            <v>146512</v>
          </cell>
          <cell r="AA160">
            <v>146512</v>
          </cell>
          <cell r="AB160">
            <v>131121</v>
          </cell>
          <cell r="AC160">
            <v>131121</v>
          </cell>
          <cell r="AD160">
            <v>131121</v>
          </cell>
          <cell r="AE160">
            <v>155573</v>
          </cell>
          <cell r="AF160">
            <v>137234</v>
          </cell>
          <cell r="AG160">
            <v>137234</v>
          </cell>
          <cell r="AH160">
            <v>137234</v>
          </cell>
          <cell r="AI160">
            <v>137234</v>
          </cell>
          <cell r="AJ160">
            <v>167356</v>
          </cell>
          <cell r="AK160">
            <v>140581</v>
          </cell>
          <cell r="AL160">
            <v>140581</v>
          </cell>
          <cell r="AM160">
            <v>140581</v>
          </cell>
          <cell r="AN160">
            <v>127312</v>
          </cell>
          <cell r="AO160">
            <v>127312</v>
          </cell>
          <cell r="AP160">
            <v>127312</v>
          </cell>
          <cell r="AQ160">
            <v>127312</v>
          </cell>
          <cell r="AR160">
            <v>127312</v>
          </cell>
          <cell r="AS160">
            <v>201047</v>
          </cell>
          <cell r="AT160">
            <v>139601</v>
          </cell>
          <cell r="AU160">
            <v>139601</v>
          </cell>
          <cell r="AV160">
            <v>139601</v>
          </cell>
          <cell r="AW160">
            <v>139601</v>
          </cell>
          <cell r="AX160">
            <v>139601</v>
          </cell>
          <cell r="AY160">
            <v>139601</v>
          </cell>
          <cell r="AZ160">
            <v>129389</v>
          </cell>
          <cell r="BA160">
            <v>129389</v>
          </cell>
          <cell r="BB160">
            <v>129389</v>
          </cell>
          <cell r="BC160">
            <v>129389</v>
          </cell>
          <cell r="BD160">
            <v>259582</v>
          </cell>
          <cell r="BE160">
            <v>155428</v>
          </cell>
          <cell r="BF160">
            <v>155428</v>
          </cell>
          <cell r="BG160">
            <v>155428</v>
          </cell>
          <cell r="BH160">
            <v>155428</v>
          </cell>
          <cell r="BI160">
            <v>155428</v>
          </cell>
          <cell r="BJ160">
            <v>155428</v>
          </cell>
          <cell r="BK160">
            <v>155428</v>
          </cell>
          <cell r="BL160">
            <v>134112</v>
          </cell>
          <cell r="BM160">
            <v>134112</v>
          </cell>
          <cell r="BN160">
            <v>134112</v>
          </cell>
          <cell r="BO160">
            <v>134112</v>
          </cell>
          <cell r="BP160">
            <v>134112</v>
          </cell>
          <cell r="BQ160">
            <v>59826</v>
          </cell>
          <cell r="BR160">
            <v>121732</v>
          </cell>
          <cell r="BS160">
            <v>121732</v>
          </cell>
          <cell r="BT160">
            <v>121732</v>
          </cell>
          <cell r="BU160">
            <v>121732</v>
          </cell>
          <cell r="BV160">
            <v>145708</v>
          </cell>
          <cell r="BW160">
            <v>184229</v>
          </cell>
          <cell r="BX160">
            <v>147416</v>
          </cell>
          <cell r="BY160">
            <v>147416</v>
          </cell>
          <cell r="BZ160">
            <v>147416</v>
          </cell>
          <cell r="CA160">
            <v>147416</v>
          </cell>
          <cell r="CB160">
            <v>147416</v>
          </cell>
          <cell r="CC160">
            <v>218594</v>
          </cell>
          <cell r="CD160">
            <v>159280</v>
          </cell>
          <cell r="CE160">
            <v>159280</v>
          </cell>
          <cell r="CF160">
            <v>159280</v>
          </cell>
          <cell r="CG160">
            <v>159280</v>
          </cell>
          <cell r="CH160">
            <v>159280</v>
          </cell>
          <cell r="CI160">
            <v>159280</v>
          </cell>
          <cell r="CJ160">
            <v>152033</v>
          </cell>
          <cell r="CK160">
            <v>152033</v>
          </cell>
          <cell r="CL160">
            <v>152033</v>
          </cell>
          <cell r="CM160">
            <v>152033</v>
          </cell>
          <cell r="CN160">
            <v>152033</v>
          </cell>
          <cell r="CO160">
            <v>152033</v>
          </cell>
          <cell r="CP160">
            <v>335991</v>
          </cell>
          <cell r="CQ160">
            <v>178312</v>
          </cell>
          <cell r="CR160">
            <v>178312</v>
          </cell>
          <cell r="CS160">
            <v>178312</v>
          </cell>
          <cell r="CT160">
            <v>178312</v>
          </cell>
          <cell r="CU160">
            <v>178312</v>
          </cell>
          <cell r="CV160">
            <v>110347</v>
          </cell>
          <cell r="CW160">
            <v>110347</v>
          </cell>
          <cell r="CX160">
            <v>110347</v>
          </cell>
          <cell r="CY160">
            <v>110347</v>
          </cell>
          <cell r="CZ160">
            <v>110347</v>
          </cell>
          <cell r="DA160">
            <v>176624</v>
          </cell>
          <cell r="DB160">
            <v>121934</v>
          </cell>
          <cell r="DC160">
            <v>121934</v>
          </cell>
          <cell r="DD160">
            <v>121934</v>
          </cell>
          <cell r="DE160">
            <v>119774</v>
          </cell>
          <cell r="DF160">
            <v>121394</v>
          </cell>
          <cell r="DG160">
            <v>121394</v>
          </cell>
          <cell r="DH160">
            <v>1456723</v>
          </cell>
        </row>
        <row r="161">
          <cell r="A161" t="str">
            <v>6020080</v>
          </cell>
          <cell r="B161" t="str">
            <v>6020080</v>
          </cell>
          <cell r="C161" t="str">
            <v>PostRtFAS106-Active</v>
          </cell>
          <cell r="D161">
            <v>80417</v>
          </cell>
          <cell r="E161">
            <v>80417</v>
          </cell>
          <cell r="F161">
            <v>80417</v>
          </cell>
          <cell r="G161">
            <v>83969</v>
          </cell>
          <cell r="H161">
            <v>81305</v>
          </cell>
          <cell r="I161">
            <v>81305</v>
          </cell>
          <cell r="J161">
            <v>81305</v>
          </cell>
          <cell r="K161">
            <v>81305</v>
          </cell>
          <cell r="L161">
            <v>81305</v>
          </cell>
          <cell r="M161">
            <v>81305</v>
          </cell>
          <cell r="N161">
            <v>81305</v>
          </cell>
          <cell r="O161">
            <v>81305</v>
          </cell>
          <cell r="P161">
            <v>72667</v>
          </cell>
          <cell r="Q161">
            <v>72978</v>
          </cell>
          <cell r="R161">
            <v>72823</v>
          </cell>
          <cell r="S161">
            <v>72823</v>
          </cell>
          <cell r="T161">
            <v>65071</v>
          </cell>
          <cell r="U161">
            <v>71273</v>
          </cell>
          <cell r="V161">
            <v>71273</v>
          </cell>
          <cell r="W161">
            <v>71375.360000000001</v>
          </cell>
          <cell r="X161">
            <v>71273</v>
          </cell>
          <cell r="Y161">
            <v>71273</v>
          </cell>
          <cell r="Z161">
            <v>71273</v>
          </cell>
          <cell r="AA161">
            <v>71273</v>
          </cell>
          <cell r="AB161">
            <v>70082</v>
          </cell>
          <cell r="AC161">
            <v>70082</v>
          </cell>
          <cell r="AD161">
            <v>70082</v>
          </cell>
          <cell r="AE161">
            <v>67014</v>
          </cell>
          <cell r="AF161">
            <v>69315</v>
          </cell>
          <cell r="AG161">
            <v>69315</v>
          </cell>
          <cell r="AH161">
            <v>69315</v>
          </cell>
          <cell r="AI161">
            <v>69315</v>
          </cell>
          <cell r="AJ161">
            <v>71979</v>
          </cell>
          <cell r="AK161">
            <v>70203</v>
          </cell>
          <cell r="AL161">
            <v>70202</v>
          </cell>
          <cell r="AM161">
            <v>70202</v>
          </cell>
          <cell r="AN161">
            <v>69979</v>
          </cell>
          <cell r="AO161">
            <v>69979</v>
          </cell>
          <cell r="AP161">
            <v>69979</v>
          </cell>
          <cell r="AQ161">
            <v>69979</v>
          </cell>
          <cell r="AR161">
            <v>69979</v>
          </cell>
          <cell r="AS161">
            <v>64811</v>
          </cell>
          <cell r="AT161">
            <v>69118</v>
          </cell>
          <cell r="AU161">
            <v>69118</v>
          </cell>
          <cell r="AV161">
            <v>69118</v>
          </cell>
          <cell r="AW161">
            <v>69118</v>
          </cell>
          <cell r="AX161">
            <v>69118</v>
          </cell>
          <cell r="AY161">
            <v>69118</v>
          </cell>
          <cell r="AZ161">
            <v>73390</v>
          </cell>
          <cell r="BA161">
            <v>73390</v>
          </cell>
          <cell r="BB161">
            <v>73390</v>
          </cell>
          <cell r="BC161">
            <v>73390</v>
          </cell>
          <cell r="BD161">
            <v>71350</v>
          </cell>
          <cell r="BE161">
            <v>72982</v>
          </cell>
          <cell r="BF161">
            <v>72982</v>
          </cell>
          <cell r="BG161">
            <v>72982</v>
          </cell>
          <cell r="BH161">
            <v>72982</v>
          </cell>
          <cell r="BI161">
            <v>72982</v>
          </cell>
          <cell r="BJ161">
            <v>72982</v>
          </cell>
          <cell r="BK161">
            <v>72982</v>
          </cell>
          <cell r="BL161">
            <v>70528</v>
          </cell>
          <cell r="BM161">
            <v>70528</v>
          </cell>
          <cell r="BN161">
            <v>70528</v>
          </cell>
          <cell r="BO161">
            <v>70528</v>
          </cell>
          <cell r="BP161">
            <v>70528</v>
          </cell>
          <cell r="BQ161">
            <v>69103</v>
          </cell>
          <cell r="BR161">
            <v>70290</v>
          </cell>
          <cell r="BS161">
            <v>70290</v>
          </cell>
          <cell r="BT161">
            <v>70290</v>
          </cell>
          <cell r="BU161">
            <v>70290</v>
          </cell>
          <cell r="BV161">
            <v>70290</v>
          </cell>
          <cell r="BW161">
            <v>70290</v>
          </cell>
          <cell r="BX161">
            <v>74162</v>
          </cell>
          <cell r="BY161">
            <v>74162</v>
          </cell>
          <cell r="BZ161">
            <v>74162</v>
          </cell>
          <cell r="CA161">
            <v>74162</v>
          </cell>
          <cell r="CB161">
            <v>74162</v>
          </cell>
          <cell r="CC161">
            <v>76698</v>
          </cell>
          <cell r="CD161">
            <v>74584</v>
          </cell>
          <cell r="CE161">
            <v>74584</v>
          </cell>
          <cell r="CF161">
            <v>74584</v>
          </cell>
          <cell r="CG161">
            <v>74584</v>
          </cell>
          <cell r="CH161">
            <v>74584</v>
          </cell>
          <cell r="CI161">
            <v>74584</v>
          </cell>
          <cell r="CJ161">
            <v>106576</v>
          </cell>
          <cell r="CK161">
            <v>106576</v>
          </cell>
          <cell r="CL161">
            <v>106576</v>
          </cell>
          <cell r="CM161">
            <v>106576</v>
          </cell>
          <cell r="CN161">
            <v>106576</v>
          </cell>
          <cell r="CO161">
            <v>106576</v>
          </cell>
          <cell r="CP161">
            <v>157517</v>
          </cell>
          <cell r="CQ161">
            <v>113854</v>
          </cell>
          <cell r="CR161">
            <v>113854</v>
          </cell>
          <cell r="CS161">
            <v>113854</v>
          </cell>
          <cell r="CT161">
            <v>113854</v>
          </cell>
          <cell r="CU161">
            <v>113854</v>
          </cell>
          <cell r="CV161">
            <v>104445</v>
          </cell>
          <cell r="CW161">
            <v>104445</v>
          </cell>
          <cell r="CX161">
            <v>104445</v>
          </cell>
          <cell r="CY161">
            <v>104445</v>
          </cell>
          <cell r="CZ161">
            <v>104445</v>
          </cell>
          <cell r="DA161">
            <v>55273</v>
          </cell>
          <cell r="DB161">
            <v>96250</v>
          </cell>
          <cell r="DC161">
            <v>96250</v>
          </cell>
          <cell r="DD161">
            <v>96250</v>
          </cell>
          <cell r="DE161">
            <v>96250</v>
          </cell>
          <cell r="DF161">
            <v>96250</v>
          </cell>
          <cell r="DG161">
            <v>96250</v>
          </cell>
          <cell r="DH161">
            <v>1154998</v>
          </cell>
        </row>
        <row r="162">
          <cell r="A162" t="str">
            <v>6020100</v>
          </cell>
          <cell r="B162" t="str">
            <v>6020100</v>
          </cell>
          <cell r="C162" t="str">
            <v>Restricted Stock Exp</v>
          </cell>
          <cell r="D162">
            <v>87085</v>
          </cell>
          <cell r="E162">
            <v>102727</v>
          </cell>
          <cell r="F162">
            <v>113134.26</v>
          </cell>
          <cell r="G162">
            <v>93628.92</v>
          </cell>
          <cell r="H162">
            <v>89965.24</v>
          </cell>
          <cell r="I162">
            <v>86701.41</v>
          </cell>
          <cell r="J162">
            <v>89674</v>
          </cell>
          <cell r="K162">
            <v>89737.57</v>
          </cell>
          <cell r="L162">
            <v>87043.48</v>
          </cell>
          <cell r="M162">
            <v>89967.17</v>
          </cell>
          <cell r="N162">
            <v>86939.520000000004</v>
          </cell>
          <cell r="O162">
            <v>506.83</v>
          </cell>
          <cell r="P162">
            <v>89889</v>
          </cell>
          <cell r="Q162">
            <v>107188</v>
          </cell>
          <cell r="R162">
            <v>122132</v>
          </cell>
          <cell r="S162">
            <v>96225</v>
          </cell>
          <cell r="T162">
            <v>93925</v>
          </cell>
          <cell r="U162">
            <v>58928.1</v>
          </cell>
          <cell r="V162">
            <v>86827.33</v>
          </cell>
          <cell r="W162">
            <v>86846.64</v>
          </cell>
          <cell r="X162">
            <v>84050.26</v>
          </cell>
          <cell r="Y162">
            <v>86843.5</v>
          </cell>
          <cell r="Z162">
            <v>84020.800000000003</v>
          </cell>
          <cell r="AA162">
            <v>86785.7</v>
          </cell>
          <cell r="AB162">
            <v>64051</v>
          </cell>
          <cell r="AC162">
            <v>83951</v>
          </cell>
          <cell r="AD162">
            <v>88048.61</v>
          </cell>
          <cell r="AE162">
            <v>89015.3</v>
          </cell>
          <cell r="AF162">
            <v>94878.2</v>
          </cell>
          <cell r="AG162">
            <v>91901.56</v>
          </cell>
          <cell r="AH162">
            <v>61779.29</v>
          </cell>
          <cell r="AI162">
            <v>61779.29</v>
          </cell>
          <cell r="AJ162">
            <v>59872.11</v>
          </cell>
          <cell r="AK162">
            <v>59872.11</v>
          </cell>
          <cell r="AL162">
            <v>59872.11</v>
          </cell>
          <cell r="AM162">
            <v>59872.11</v>
          </cell>
          <cell r="AN162">
            <v>59872.11</v>
          </cell>
          <cell r="AO162">
            <v>100850.11</v>
          </cell>
          <cell r="AP162">
            <v>106192.41</v>
          </cell>
          <cell r="AQ162">
            <v>77874.59</v>
          </cell>
          <cell r="AR162">
            <v>43155.11</v>
          </cell>
          <cell r="AS162">
            <v>153217.82</v>
          </cell>
          <cell r="AT162">
            <v>64203.8</v>
          </cell>
          <cell r="AU162">
            <v>57481.11</v>
          </cell>
          <cell r="AV162">
            <v>152251.49</v>
          </cell>
          <cell r="AW162">
            <v>80957.38</v>
          </cell>
          <cell r="AX162">
            <v>57662.87</v>
          </cell>
          <cell r="AY162">
            <v>85885.14</v>
          </cell>
          <cell r="AZ162">
            <v>45157.21</v>
          </cell>
          <cell r="BA162">
            <v>45396.1</v>
          </cell>
          <cell r="BB162">
            <v>164313.1</v>
          </cell>
          <cell r="BC162">
            <v>45396.1</v>
          </cell>
          <cell r="BD162">
            <v>45396.1</v>
          </cell>
          <cell r="BE162">
            <v>256982.52</v>
          </cell>
          <cell r="BF162">
            <v>40493.589999999997</v>
          </cell>
          <cell r="BG162">
            <v>45492.1</v>
          </cell>
          <cell r="BH162">
            <v>191153.8</v>
          </cell>
          <cell r="BI162">
            <v>44596.1</v>
          </cell>
          <cell r="BJ162">
            <v>44596.1</v>
          </cell>
          <cell r="BK162">
            <v>341232.38</v>
          </cell>
          <cell r="BL162">
            <v>0</v>
          </cell>
          <cell r="BM162">
            <v>0</v>
          </cell>
          <cell r="BN162">
            <v>527233.69999999995</v>
          </cell>
          <cell r="BO162">
            <v>0</v>
          </cell>
          <cell r="BP162">
            <v>0</v>
          </cell>
          <cell r="BQ162">
            <v>514313</v>
          </cell>
          <cell r="BR162">
            <v>0</v>
          </cell>
          <cell r="BS162">
            <v>0</v>
          </cell>
          <cell r="BT162">
            <v>1088488.8</v>
          </cell>
          <cell r="BU162">
            <v>8803.83</v>
          </cell>
          <cell r="BV162">
            <v>0</v>
          </cell>
          <cell r="BW162">
            <v>-180154.66</v>
          </cell>
          <cell r="BX162">
            <v>0</v>
          </cell>
          <cell r="BY162">
            <v>0</v>
          </cell>
          <cell r="BZ162">
            <v>433010.22</v>
          </cell>
          <cell r="CA162">
            <v>0</v>
          </cell>
          <cell r="CB162">
            <v>0</v>
          </cell>
          <cell r="CC162">
            <v>290823.61</v>
          </cell>
          <cell r="CD162">
            <v>0</v>
          </cell>
          <cell r="CE162">
            <v>0</v>
          </cell>
          <cell r="CF162">
            <v>424925.07</v>
          </cell>
          <cell r="CG162">
            <v>0</v>
          </cell>
          <cell r="CH162">
            <v>0</v>
          </cell>
          <cell r="CI162">
            <v>771058.32</v>
          </cell>
          <cell r="CJ162">
            <v>0</v>
          </cell>
          <cell r="CK162">
            <v>0</v>
          </cell>
          <cell r="CL162">
            <v>-14259.2</v>
          </cell>
          <cell r="CM162">
            <v>0</v>
          </cell>
          <cell r="CN162">
            <v>0</v>
          </cell>
          <cell r="CO162">
            <v>591158.48</v>
          </cell>
          <cell r="CP162">
            <v>0</v>
          </cell>
          <cell r="CQ162">
            <v>0</v>
          </cell>
          <cell r="CR162">
            <v>112274.93</v>
          </cell>
          <cell r="CS162">
            <v>0</v>
          </cell>
          <cell r="CT162">
            <v>0</v>
          </cell>
          <cell r="CU162">
            <v>446187.4</v>
          </cell>
          <cell r="CV162">
            <v>0</v>
          </cell>
          <cell r="CW162">
            <v>0</v>
          </cell>
          <cell r="CX162">
            <v>389355.55</v>
          </cell>
          <cell r="CY162">
            <v>0</v>
          </cell>
          <cell r="CZ162">
            <v>0</v>
          </cell>
          <cell r="DA162">
            <v>564667.89</v>
          </cell>
          <cell r="DB162">
            <v>0</v>
          </cell>
          <cell r="DC162">
            <v>0</v>
          </cell>
          <cell r="DD162">
            <v>310682.74</v>
          </cell>
          <cell r="DE162">
            <v>0</v>
          </cell>
          <cell r="DF162">
            <v>0</v>
          </cell>
          <cell r="DG162">
            <v>231714.42</v>
          </cell>
          <cell r="DH162">
            <v>1496420.5999999999</v>
          </cell>
        </row>
        <row r="163">
          <cell r="A163" t="str">
            <v>6020101</v>
          </cell>
          <cell r="B163" t="str">
            <v>6020101</v>
          </cell>
          <cell r="C163" t="str">
            <v>Employee Deferred Compensation Expense</v>
          </cell>
          <cell r="BX163">
            <v>0</v>
          </cell>
          <cell r="BY163">
            <v>0</v>
          </cell>
          <cell r="BZ163">
            <v>4358.92</v>
          </cell>
          <cell r="CA163">
            <v>0</v>
          </cell>
          <cell r="CB163">
            <v>0</v>
          </cell>
          <cell r="CC163">
            <v>-3217.89</v>
          </cell>
          <cell r="CD163">
            <v>0</v>
          </cell>
          <cell r="CE163">
            <v>0</v>
          </cell>
          <cell r="CF163">
            <v>870.97</v>
          </cell>
          <cell r="CG163">
            <v>0</v>
          </cell>
          <cell r="CH163">
            <v>0</v>
          </cell>
          <cell r="CI163">
            <v>1608.28</v>
          </cell>
          <cell r="CJ163">
            <v>0</v>
          </cell>
          <cell r="CK163">
            <v>0</v>
          </cell>
          <cell r="CL163">
            <v>-9939.86</v>
          </cell>
          <cell r="CM163">
            <v>0</v>
          </cell>
          <cell r="CN163">
            <v>0</v>
          </cell>
          <cell r="CO163">
            <v>27382.61</v>
          </cell>
          <cell r="CP163">
            <v>0</v>
          </cell>
          <cell r="CQ163">
            <v>0</v>
          </cell>
          <cell r="CR163">
            <v>14883.26</v>
          </cell>
          <cell r="CS163">
            <v>0</v>
          </cell>
          <cell r="CT163">
            <v>0</v>
          </cell>
          <cell r="CU163">
            <v>5667.17</v>
          </cell>
          <cell r="CV163">
            <v>0</v>
          </cell>
          <cell r="CW163">
            <v>0</v>
          </cell>
          <cell r="CX163">
            <v>8266.2800000000007</v>
          </cell>
          <cell r="CY163">
            <v>0</v>
          </cell>
          <cell r="CZ163">
            <v>0</v>
          </cell>
          <cell r="DA163">
            <v>20835.12</v>
          </cell>
          <cell r="DB163">
            <v>0</v>
          </cell>
          <cell r="DC163">
            <v>0</v>
          </cell>
          <cell r="DD163">
            <v>-1569.32</v>
          </cell>
          <cell r="DE163">
            <v>0</v>
          </cell>
          <cell r="DF163">
            <v>0</v>
          </cell>
          <cell r="DG163">
            <v>-16000.36</v>
          </cell>
          <cell r="DH163">
            <v>11531.720000000001</v>
          </cell>
        </row>
        <row r="164">
          <cell r="A164" t="str">
            <v>6020110</v>
          </cell>
          <cell r="B164" t="str">
            <v>6020110</v>
          </cell>
          <cell r="C164" t="str">
            <v>Employee Wellness</v>
          </cell>
          <cell r="D164">
            <v>0</v>
          </cell>
          <cell r="E164">
            <v>790.03</v>
          </cell>
          <cell r="F164">
            <v>215.78</v>
          </cell>
          <cell r="G164">
            <v>399.2</v>
          </cell>
          <cell r="H164">
            <v>455</v>
          </cell>
          <cell r="I164">
            <v>97.9</v>
          </cell>
          <cell r="J164">
            <v>0</v>
          </cell>
          <cell r="K164">
            <v>0</v>
          </cell>
          <cell r="L164">
            <v>105.59</v>
          </cell>
          <cell r="M164">
            <v>1834.85</v>
          </cell>
          <cell r="N164">
            <v>1200.4000000000001</v>
          </cell>
          <cell r="O164">
            <v>302.11</v>
          </cell>
          <cell r="P164">
            <v>0</v>
          </cell>
          <cell r="Q164">
            <v>458.87</v>
          </cell>
          <cell r="R164">
            <v>155.24</v>
          </cell>
          <cell r="S164">
            <v>745.75</v>
          </cell>
          <cell r="T164">
            <v>107.23</v>
          </cell>
          <cell r="U164">
            <v>467.08</v>
          </cell>
          <cell r="V164">
            <v>337</v>
          </cell>
          <cell r="W164">
            <v>428.65</v>
          </cell>
          <cell r="X164">
            <v>2437.73</v>
          </cell>
          <cell r="Y164">
            <v>1254.78</v>
          </cell>
          <cell r="Z164">
            <v>434.25</v>
          </cell>
          <cell r="AA164">
            <v>222</v>
          </cell>
          <cell r="AB164">
            <v>0</v>
          </cell>
          <cell r="AC164">
            <v>286.54000000000002</v>
          </cell>
          <cell r="AD164">
            <v>300.48</v>
          </cell>
          <cell r="AE164">
            <v>-30</v>
          </cell>
          <cell r="AF164">
            <v>86.85</v>
          </cell>
          <cell r="AG164">
            <v>413.31</v>
          </cell>
          <cell r="AH164">
            <v>83.9</v>
          </cell>
          <cell r="AI164">
            <v>91.21</v>
          </cell>
          <cell r="AJ164">
            <v>172.63</v>
          </cell>
          <cell r="AK164">
            <v>233.41</v>
          </cell>
          <cell r="AL164">
            <v>231.6</v>
          </cell>
          <cell r="AM164">
            <v>185.26</v>
          </cell>
          <cell r="AN164">
            <v>0</v>
          </cell>
          <cell r="AO164">
            <v>483.26</v>
          </cell>
          <cell r="AP164">
            <v>525.84</v>
          </cell>
          <cell r="AQ164">
            <v>201.22</v>
          </cell>
          <cell r="AR164">
            <v>38.83</v>
          </cell>
          <cell r="AS164">
            <v>76.36</v>
          </cell>
          <cell r="AT164">
            <v>140.63999999999999</v>
          </cell>
          <cell r="AU164">
            <v>0</v>
          </cell>
          <cell r="AV164">
            <v>121.33</v>
          </cell>
          <cell r="AW164">
            <v>356.85</v>
          </cell>
          <cell r="AX164">
            <v>332.88</v>
          </cell>
          <cell r="AY164">
            <v>65.05</v>
          </cell>
          <cell r="AZ164">
            <v>0</v>
          </cell>
          <cell r="BA164">
            <v>260.76</v>
          </cell>
          <cell r="BB164">
            <v>54.15</v>
          </cell>
          <cell r="BC164">
            <v>1977.9</v>
          </cell>
          <cell r="BD164">
            <v>0</v>
          </cell>
          <cell r="BE164">
            <v>52.18</v>
          </cell>
          <cell r="BF164">
            <v>219.8</v>
          </cell>
          <cell r="BG164">
            <v>81.489999999999995</v>
          </cell>
          <cell r="BH164">
            <v>81.8</v>
          </cell>
          <cell r="BI164">
            <v>195</v>
          </cell>
          <cell r="BJ164">
            <v>526.20000000000005</v>
          </cell>
          <cell r="BK164">
            <v>3606.37</v>
          </cell>
          <cell r="BL164">
            <v>0</v>
          </cell>
          <cell r="BM164">
            <v>235.53</v>
          </cell>
          <cell r="BN164">
            <v>278.98</v>
          </cell>
          <cell r="BO164">
            <v>0</v>
          </cell>
          <cell r="BP164">
            <v>0</v>
          </cell>
          <cell r="BQ164">
            <v>0</v>
          </cell>
          <cell r="BR164">
            <v>216.58</v>
          </cell>
          <cell r="BS164">
            <v>0</v>
          </cell>
          <cell r="BT164">
            <v>0</v>
          </cell>
          <cell r="BU164">
            <v>107.9</v>
          </cell>
          <cell r="BV164">
            <v>269.64</v>
          </cell>
          <cell r="BW164">
            <v>269.63</v>
          </cell>
          <cell r="BX164">
            <v>0</v>
          </cell>
          <cell r="BY164">
            <v>0</v>
          </cell>
          <cell r="BZ164">
            <v>355.13</v>
          </cell>
          <cell r="CA164">
            <v>6.51</v>
          </cell>
          <cell r="CB164">
            <v>233.82</v>
          </cell>
          <cell r="CC164">
            <v>49.72</v>
          </cell>
          <cell r="CD164">
            <v>263.88</v>
          </cell>
          <cell r="CE164">
            <v>471.56</v>
          </cell>
          <cell r="CF164">
            <v>131.58000000000001</v>
          </cell>
          <cell r="CG164">
            <v>101.41</v>
          </cell>
          <cell r="CH164">
            <v>102.91</v>
          </cell>
          <cell r="CI164">
            <v>21.75</v>
          </cell>
          <cell r="CJ164">
            <v>373.36</v>
          </cell>
          <cell r="CK164">
            <v>708.82</v>
          </cell>
          <cell r="CL164">
            <v>286.2</v>
          </cell>
          <cell r="CM164">
            <v>228.87</v>
          </cell>
          <cell r="CN164">
            <v>938.2</v>
          </cell>
          <cell r="CO164">
            <v>366.17</v>
          </cell>
          <cell r="CP164">
            <v>486.33</v>
          </cell>
          <cell r="CQ164">
            <v>320.58</v>
          </cell>
          <cell r="CR164">
            <v>402.05</v>
          </cell>
          <cell r="CS164">
            <v>24.04</v>
          </cell>
          <cell r="CT164">
            <v>970.8</v>
          </cell>
          <cell r="CU164">
            <v>581.03</v>
          </cell>
          <cell r="CV164">
            <v>133.09</v>
          </cell>
          <cell r="CW164">
            <v>38.729999999999997</v>
          </cell>
          <cell r="CX164">
            <v>127.13</v>
          </cell>
          <cell r="CY164">
            <v>282.42</v>
          </cell>
          <cell r="CZ164">
            <v>495.86</v>
          </cell>
          <cell r="DA164">
            <v>124.63</v>
          </cell>
          <cell r="DB164">
            <v>478.73</v>
          </cell>
          <cell r="DC164">
            <v>906.69</v>
          </cell>
          <cell r="DD164">
            <v>797.07</v>
          </cell>
          <cell r="DE164">
            <v>7762.3</v>
          </cell>
          <cell r="DF164">
            <v>2121.77</v>
          </cell>
          <cell r="DG164">
            <v>1709</v>
          </cell>
          <cell r="DH164">
            <v>14977.420000000002</v>
          </cell>
        </row>
        <row r="165">
          <cell r="A165" t="str">
            <v>6020130</v>
          </cell>
          <cell r="B165" t="str">
            <v>6020130</v>
          </cell>
          <cell r="C165" t="str">
            <v>Emplr 401KFixed Mtch</v>
          </cell>
          <cell r="D165">
            <v>153955.15</v>
          </cell>
          <cell r="E165">
            <v>70275.39</v>
          </cell>
          <cell r="F165">
            <v>72571.27</v>
          </cell>
          <cell r="G165">
            <v>73408.02</v>
          </cell>
          <cell r="H165">
            <v>112562.38</v>
          </cell>
          <cell r="I165">
            <v>73677.31</v>
          </cell>
          <cell r="J165">
            <v>73455.839999999997</v>
          </cell>
          <cell r="K165">
            <v>75367.53</v>
          </cell>
          <cell r="L165">
            <v>75795.78</v>
          </cell>
          <cell r="M165">
            <v>115301.95</v>
          </cell>
          <cell r="N165">
            <v>75241.759999999995</v>
          </cell>
          <cell r="O165">
            <v>107216.07</v>
          </cell>
          <cell r="P165">
            <v>78400.210000000006</v>
          </cell>
          <cell r="Q165">
            <v>129221.56</v>
          </cell>
          <cell r="R165">
            <v>80205.919999999998</v>
          </cell>
          <cell r="S165">
            <v>119920.79</v>
          </cell>
          <cell r="T165">
            <v>81009.039999999994</v>
          </cell>
          <cell r="U165">
            <v>81963.45</v>
          </cell>
          <cell r="V165">
            <v>80768.14</v>
          </cell>
          <cell r="W165">
            <v>80949.58</v>
          </cell>
          <cell r="X165">
            <v>84130.240000000005</v>
          </cell>
          <cell r="Y165">
            <v>124365.27</v>
          </cell>
          <cell r="Z165">
            <v>84747.17</v>
          </cell>
          <cell r="AA165">
            <v>87643.92</v>
          </cell>
          <cell r="AB165">
            <v>87604.77</v>
          </cell>
          <cell r="AC165">
            <v>152353.21</v>
          </cell>
          <cell r="AD165">
            <v>131227.01999999999</v>
          </cell>
          <cell r="AE165">
            <v>87906.7</v>
          </cell>
          <cell r="AF165">
            <v>90132.95</v>
          </cell>
          <cell r="AG165">
            <v>90730.34</v>
          </cell>
          <cell r="AH165">
            <v>96543.9</v>
          </cell>
          <cell r="AI165">
            <v>92044.62</v>
          </cell>
          <cell r="AJ165">
            <v>139321.71</v>
          </cell>
          <cell r="AK165">
            <v>96737.54</v>
          </cell>
          <cell r="AL165">
            <v>96016.79</v>
          </cell>
          <cell r="AM165">
            <v>101949.36</v>
          </cell>
          <cell r="AN165">
            <v>111987.69</v>
          </cell>
          <cell r="AO165">
            <v>198687.03</v>
          </cell>
          <cell r="AP165">
            <v>155909.88</v>
          </cell>
          <cell r="AQ165">
            <v>105339.63</v>
          </cell>
          <cell r="AR165">
            <v>100974.01</v>
          </cell>
          <cell r="AS165">
            <v>101767.1</v>
          </cell>
          <cell r="AT165">
            <v>102620.15</v>
          </cell>
          <cell r="AU165">
            <v>157047.35999999999</v>
          </cell>
          <cell r="AV165">
            <v>109020.6</v>
          </cell>
          <cell r="AW165">
            <v>110028.02</v>
          </cell>
          <cell r="AX165">
            <v>110061.79</v>
          </cell>
          <cell r="AY165">
            <v>109205.75999999999</v>
          </cell>
          <cell r="AZ165">
            <v>115837.3</v>
          </cell>
          <cell r="BA165">
            <v>216233.99</v>
          </cell>
          <cell r="BB165">
            <v>169083.47</v>
          </cell>
          <cell r="BC165">
            <v>117129.05</v>
          </cell>
          <cell r="BD165">
            <v>115639.13</v>
          </cell>
          <cell r="BE165">
            <v>115789.81</v>
          </cell>
          <cell r="BF165">
            <v>115501.28</v>
          </cell>
          <cell r="BG165">
            <v>173208.16</v>
          </cell>
          <cell r="BH165">
            <v>118316.28</v>
          </cell>
          <cell r="BI165">
            <v>132546.65</v>
          </cell>
          <cell r="BJ165">
            <v>128342.58</v>
          </cell>
          <cell r="BK165">
            <v>123368.23</v>
          </cell>
          <cell r="BL165">
            <v>189609.23</v>
          </cell>
          <cell r="BM165">
            <v>245779.98</v>
          </cell>
          <cell r="BN165">
            <v>124232.25</v>
          </cell>
          <cell r="BO165">
            <v>125689.75</v>
          </cell>
          <cell r="BP165">
            <v>125296.49</v>
          </cell>
          <cell r="BQ165">
            <v>126164.07</v>
          </cell>
          <cell r="BR165">
            <v>127315.49</v>
          </cell>
          <cell r="BS165">
            <v>192405.78</v>
          </cell>
          <cell r="BT165">
            <v>129294.42</v>
          </cell>
          <cell r="BU165">
            <v>130151.6</v>
          </cell>
          <cell r="BV165">
            <v>130634.96</v>
          </cell>
          <cell r="BW165">
            <v>278694.61</v>
          </cell>
          <cell r="BX165">
            <v>205380.32</v>
          </cell>
          <cell r="BY165">
            <v>131840.60999999999</v>
          </cell>
          <cell r="BZ165">
            <v>151179.51</v>
          </cell>
          <cell r="CA165">
            <v>133606.48000000001</v>
          </cell>
          <cell r="CB165">
            <v>135398.10999999999</v>
          </cell>
          <cell r="CC165">
            <v>137594.94</v>
          </cell>
          <cell r="CD165">
            <v>208740.77</v>
          </cell>
          <cell r="CE165">
            <v>140397.68</v>
          </cell>
          <cell r="CF165">
            <v>140098.15</v>
          </cell>
          <cell r="CG165">
            <v>139645.06</v>
          </cell>
          <cell r="CH165">
            <v>143619.37</v>
          </cell>
          <cell r="CI165">
            <v>211368.66</v>
          </cell>
          <cell r="CJ165">
            <v>152326.6</v>
          </cell>
          <cell r="CK165">
            <v>149898.19</v>
          </cell>
          <cell r="CL165">
            <v>294142.75</v>
          </cell>
          <cell r="CM165">
            <v>151276.25</v>
          </cell>
          <cell r="CN165">
            <v>150868.1</v>
          </cell>
          <cell r="CO165">
            <v>150498.47</v>
          </cell>
          <cell r="CP165">
            <v>223703.28</v>
          </cell>
          <cell r="CQ165">
            <v>148492.60999999999</v>
          </cell>
          <cell r="CR165">
            <v>152652.54</v>
          </cell>
          <cell r="CS165">
            <v>277198.90000000002</v>
          </cell>
          <cell r="CT165">
            <v>164837.78</v>
          </cell>
          <cell r="CU165">
            <v>287455.2</v>
          </cell>
          <cell r="CV165">
            <v>219826.27</v>
          </cell>
          <cell r="CW165">
            <v>224793.42</v>
          </cell>
          <cell r="CX165">
            <v>119479</v>
          </cell>
          <cell r="CY165">
            <v>164370.29999999999</v>
          </cell>
          <cell r="CZ165">
            <v>163462.59</v>
          </cell>
          <cell r="DA165">
            <v>256512.27</v>
          </cell>
          <cell r="DB165">
            <v>173139.92</v>
          </cell>
          <cell r="DC165">
            <v>175722.3</v>
          </cell>
          <cell r="DD165">
            <v>175471.09</v>
          </cell>
          <cell r="DE165">
            <v>196214.74</v>
          </cell>
          <cell r="DF165">
            <v>189854.74</v>
          </cell>
          <cell r="DG165">
            <v>278829.03999999998</v>
          </cell>
          <cell r="DH165">
            <v>2337675.6799999997</v>
          </cell>
        </row>
        <row r="166">
          <cell r="A166">
            <v>6020131</v>
          </cell>
          <cell r="B166">
            <v>6020131</v>
          </cell>
          <cell r="C166" t="str">
            <v>Employer 401K – IBEW Plan Match</v>
          </cell>
          <cell r="CJ166">
            <v>137.09</v>
          </cell>
          <cell r="CK166">
            <v>-137.09</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row>
        <row r="167">
          <cell r="A167" t="str">
            <v>6020140</v>
          </cell>
          <cell r="B167" t="str">
            <v>6020140</v>
          </cell>
          <cell r="C167" t="str">
            <v>Emplr 401KPerf Match</v>
          </cell>
          <cell r="D167">
            <v>0</v>
          </cell>
          <cell r="E167">
            <v>-6179.45</v>
          </cell>
          <cell r="F167">
            <v>0</v>
          </cell>
          <cell r="G167">
            <v>0</v>
          </cell>
          <cell r="H167">
            <v>0</v>
          </cell>
          <cell r="I167">
            <v>0</v>
          </cell>
          <cell r="J167">
            <v>0</v>
          </cell>
          <cell r="K167">
            <v>0</v>
          </cell>
          <cell r="L167">
            <v>152000</v>
          </cell>
          <cell r="M167">
            <v>0</v>
          </cell>
          <cell r="N167">
            <v>0</v>
          </cell>
          <cell r="O167">
            <v>170000</v>
          </cell>
          <cell r="P167">
            <v>0</v>
          </cell>
          <cell r="Q167">
            <v>-65182.400000000001</v>
          </cell>
          <cell r="R167">
            <v>168488.36</v>
          </cell>
          <cell r="S167">
            <v>42000</v>
          </cell>
          <cell r="T167">
            <v>-29000</v>
          </cell>
          <cell r="U167">
            <v>30000</v>
          </cell>
          <cell r="V167">
            <v>-24000</v>
          </cell>
          <cell r="W167">
            <v>4000</v>
          </cell>
          <cell r="X167">
            <v>-52000</v>
          </cell>
          <cell r="Y167">
            <v>-7000</v>
          </cell>
          <cell r="Z167">
            <v>84000</v>
          </cell>
          <cell r="AA167">
            <v>-160875</v>
          </cell>
          <cell r="AB167">
            <v>0</v>
          </cell>
          <cell r="AC167">
            <v>-9691.82</v>
          </cell>
          <cell r="AD167">
            <v>0</v>
          </cell>
          <cell r="AE167">
            <v>0</v>
          </cell>
          <cell r="AF167">
            <v>0</v>
          </cell>
          <cell r="AG167">
            <v>0</v>
          </cell>
          <cell r="AH167">
            <v>0</v>
          </cell>
          <cell r="AI167">
            <v>0</v>
          </cell>
          <cell r="AJ167">
            <v>252000</v>
          </cell>
          <cell r="AK167">
            <v>-4000</v>
          </cell>
          <cell r="AL167">
            <v>-140000</v>
          </cell>
          <cell r="AM167">
            <v>-56000</v>
          </cell>
          <cell r="AN167">
            <v>0</v>
          </cell>
          <cell r="AO167">
            <v>0</v>
          </cell>
          <cell r="AP167">
            <v>17528.099999999999</v>
          </cell>
          <cell r="AQ167">
            <v>0</v>
          </cell>
          <cell r="AR167">
            <v>0</v>
          </cell>
          <cell r="AS167">
            <v>0</v>
          </cell>
          <cell r="AT167">
            <v>0</v>
          </cell>
          <cell r="AU167">
            <v>0</v>
          </cell>
          <cell r="AV167">
            <v>0</v>
          </cell>
          <cell r="AW167">
            <v>0</v>
          </cell>
          <cell r="AX167">
            <v>0</v>
          </cell>
          <cell r="AY167">
            <v>0</v>
          </cell>
          <cell r="AZ167">
            <v>0</v>
          </cell>
          <cell r="BA167">
            <v>24994.26</v>
          </cell>
          <cell r="BB167">
            <v>0</v>
          </cell>
          <cell r="BC167">
            <v>0</v>
          </cell>
          <cell r="BD167">
            <v>783.24</v>
          </cell>
          <cell r="BE167">
            <v>-738.24</v>
          </cell>
          <cell r="BF167">
            <v>-45</v>
          </cell>
          <cell r="BG167">
            <v>0</v>
          </cell>
          <cell r="BH167">
            <v>0</v>
          </cell>
          <cell r="BI167">
            <v>0</v>
          </cell>
          <cell r="BJ167">
            <v>0</v>
          </cell>
          <cell r="BK167">
            <v>0</v>
          </cell>
          <cell r="BL167">
            <v>0</v>
          </cell>
          <cell r="BM167">
            <v>4185.76</v>
          </cell>
          <cell r="BN167">
            <v>1441.26</v>
          </cell>
          <cell r="BO167">
            <v>0</v>
          </cell>
          <cell r="BP167">
            <v>0</v>
          </cell>
          <cell r="BQ167">
            <v>0</v>
          </cell>
          <cell r="BR167">
            <v>0</v>
          </cell>
          <cell r="BS167">
            <v>0</v>
          </cell>
          <cell r="BT167">
            <v>0</v>
          </cell>
          <cell r="BU167">
            <v>0</v>
          </cell>
          <cell r="BV167">
            <v>0</v>
          </cell>
          <cell r="BW167">
            <v>256702.48</v>
          </cell>
          <cell r="BX167">
            <v>0</v>
          </cell>
          <cell r="BY167">
            <v>-23352.67</v>
          </cell>
          <cell r="BZ167">
            <v>0</v>
          </cell>
          <cell r="CA167">
            <v>0</v>
          </cell>
          <cell r="CB167">
            <v>0</v>
          </cell>
          <cell r="CC167">
            <v>0</v>
          </cell>
          <cell r="CD167">
            <v>0</v>
          </cell>
          <cell r="CE167">
            <v>0</v>
          </cell>
          <cell r="CF167">
            <v>0</v>
          </cell>
          <cell r="CG167">
            <v>0</v>
          </cell>
          <cell r="CH167">
            <v>0</v>
          </cell>
          <cell r="CI167">
            <v>0</v>
          </cell>
          <cell r="CJ167">
            <v>0</v>
          </cell>
          <cell r="CK167">
            <v>0</v>
          </cell>
          <cell r="CL167">
            <v>5240.9399999999996</v>
          </cell>
          <cell r="CM167">
            <v>0</v>
          </cell>
          <cell r="CN167">
            <v>0</v>
          </cell>
          <cell r="CO167">
            <v>0</v>
          </cell>
          <cell r="CP167">
            <v>0</v>
          </cell>
          <cell r="CQ167">
            <v>0</v>
          </cell>
          <cell r="CR167">
            <v>0</v>
          </cell>
          <cell r="CS167">
            <v>366666.67</v>
          </cell>
          <cell r="CT167">
            <v>36666.67</v>
          </cell>
          <cell r="CU167">
            <v>329999.67</v>
          </cell>
          <cell r="CV167">
            <v>0</v>
          </cell>
          <cell r="CW167">
            <v>0</v>
          </cell>
          <cell r="CX167">
            <v>-60547.02</v>
          </cell>
          <cell r="CY167">
            <v>0</v>
          </cell>
          <cell r="CZ167">
            <v>0</v>
          </cell>
          <cell r="DA167">
            <v>0</v>
          </cell>
          <cell r="DB167">
            <v>0</v>
          </cell>
          <cell r="DC167">
            <v>0</v>
          </cell>
          <cell r="DD167">
            <v>0</v>
          </cell>
          <cell r="DE167">
            <v>0</v>
          </cell>
          <cell r="DF167">
            <v>0</v>
          </cell>
          <cell r="DG167">
            <v>199515</v>
          </cell>
          <cell r="DH167">
            <v>138967.98000000001</v>
          </cell>
        </row>
        <row r="168">
          <cell r="A168" t="str">
            <v>6020150</v>
          </cell>
          <cell r="B168" t="str">
            <v>6020150</v>
          </cell>
          <cell r="C168" t="str">
            <v>Supp ExecRetire Plan</v>
          </cell>
          <cell r="D168">
            <v>35750</v>
          </cell>
          <cell r="E168">
            <v>35750</v>
          </cell>
          <cell r="F168">
            <v>35750</v>
          </cell>
          <cell r="G168">
            <v>43162</v>
          </cell>
          <cell r="H168">
            <v>37603</v>
          </cell>
          <cell r="I168">
            <v>37603</v>
          </cell>
          <cell r="J168">
            <v>37603</v>
          </cell>
          <cell r="K168">
            <v>37603</v>
          </cell>
          <cell r="L168">
            <v>37603</v>
          </cell>
          <cell r="M168">
            <v>37603</v>
          </cell>
          <cell r="N168">
            <v>37603</v>
          </cell>
          <cell r="O168">
            <v>37603</v>
          </cell>
          <cell r="P168">
            <v>33583</v>
          </cell>
          <cell r="Q168">
            <v>12770</v>
          </cell>
          <cell r="R168">
            <v>23179</v>
          </cell>
          <cell r="S168">
            <v>23179</v>
          </cell>
          <cell r="T168">
            <v>35032</v>
          </cell>
          <cell r="U168">
            <v>25550</v>
          </cell>
          <cell r="V168">
            <v>25550</v>
          </cell>
          <cell r="W168">
            <v>25550</v>
          </cell>
          <cell r="X168">
            <v>25550</v>
          </cell>
          <cell r="Y168">
            <v>25550</v>
          </cell>
          <cell r="Z168">
            <v>25550</v>
          </cell>
          <cell r="AA168">
            <v>25550</v>
          </cell>
          <cell r="AB168">
            <v>23414</v>
          </cell>
          <cell r="AC168">
            <v>23414</v>
          </cell>
          <cell r="AD168">
            <v>23414</v>
          </cell>
          <cell r="AE168">
            <v>26884</v>
          </cell>
          <cell r="AF168">
            <v>24281</v>
          </cell>
          <cell r="AG168">
            <v>24281</v>
          </cell>
          <cell r="AH168">
            <v>24281</v>
          </cell>
          <cell r="AI168">
            <v>24281</v>
          </cell>
          <cell r="AJ168">
            <v>109253</v>
          </cell>
          <cell r="AK168">
            <v>33722</v>
          </cell>
          <cell r="AL168">
            <v>33722</v>
          </cell>
          <cell r="AM168">
            <v>33722</v>
          </cell>
          <cell r="AN168">
            <v>29996</v>
          </cell>
          <cell r="AO168">
            <v>29996</v>
          </cell>
          <cell r="AP168">
            <v>29996</v>
          </cell>
          <cell r="AQ168">
            <v>29996</v>
          </cell>
          <cell r="AR168">
            <v>29996</v>
          </cell>
          <cell r="AS168">
            <v>70215</v>
          </cell>
          <cell r="AT168">
            <v>36699</v>
          </cell>
          <cell r="AU168">
            <v>36699</v>
          </cell>
          <cell r="AV168">
            <v>36699</v>
          </cell>
          <cell r="AW168">
            <v>36699</v>
          </cell>
          <cell r="AX168">
            <v>36699</v>
          </cell>
          <cell r="AY168">
            <v>36699</v>
          </cell>
          <cell r="AZ168">
            <v>26400</v>
          </cell>
          <cell r="BA168">
            <v>26400</v>
          </cell>
          <cell r="BB168">
            <v>26400</v>
          </cell>
          <cell r="BC168">
            <v>26400</v>
          </cell>
          <cell r="BD168">
            <v>56407</v>
          </cell>
          <cell r="BE168">
            <v>49976</v>
          </cell>
          <cell r="BF168">
            <v>27481</v>
          </cell>
          <cell r="BG168">
            <v>27481</v>
          </cell>
          <cell r="BH168">
            <v>27481</v>
          </cell>
          <cell r="BI168">
            <v>27481</v>
          </cell>
          <cell r="BJ168">
            <v>27481</v>
          </cell>
          <cell r="BK168">
            <v>27481</v>
          </cell>
          <cell r="BL168">
            <v>22600</v>
          </cell>
          <cell r="BM168">
            <v>22600</v>
          </cell>
          <cell r="BN168">
            <v>22600</v>
          </cell>
          <cell r="BO168">
            <v>22600</v>
          </cell>
          <cell r="BP168">
            <v>22600</v>
          </cell>
          <cell r="BQ168">
            <v>43981</v>
          </cell>
          <cell r="BR168">
            <v>26163</v>
          </cell>
          <cell r="BS168">
            <v>26163</v>
          </cell>
          <cell r="BT168">
            <v>26163</v>
          </cell>
          <cell r="BU168">
            <v>26163</v>
          </cell>
          <cell r="BV168">
            <v>26163</v>
          </cell>
          <cell r="BW168">
            <v>26163</v>
          </cell>
          <cell r="BX168">
            <v>10746</v>
          </cell>
          <cell r="BY168">
            <v>10746</v>
          </cell>
          <cell r="BZ168">
            <v>10746</v>
          </cell>
          <cell r="CA168">
            <v>10746</v>
          </cell>
          <cell r="CB168">
            <v>10746</v>
          </cell>
          <cell r="CC168">
            <v>16557</v>
          </cell>
          <cell r="CD168">
            <v>11715</v>
          </cell>
          <cell r="CE168">
            <v>11715</v>
          </cell>
          <cell r="CF168">
            <v>11715</v>
          </cell>
          <cell r="CG168">
            <v>11715</v>
          </cell>
          <cell r="CH168">
            <v>11715</v>
          </cell>
          <cell r="CI168">
            <v>11715</v>
          </cell>
          <cell r="CJ168">
            <v>11157</v>
          </cell>
          <cell r="CK168">
            <v>11157</v>
          </cell>
          <cell r="CL168">
            <v>11157</v>
          </cell>
          <cell r="CM168">
            <v>11157</v>
          </cell>
          <cell r="CN168">
            <v>11157</v>
          </cell>
          <cell r="CO168">
            <v>11157</v>
          </cell>
          <cell r="CP168">
            <v>19810</v>
          </cell>
          <cell r="CQ168">
            <v>12394</v>
          </cell>
          <cell r="CR168">
            <v>12394</v>
          </cell>
          <cell r="CS168">
            <v>12394</v>
          </cell>
          <cell r="CT168">
            <v>12394</v>
          </cell>
          <cell r="CU168">
            <v>12394</v>
          </cell>
          <cell r="CV168">
            <v>11909</v>
          </cell>
          <cell r="CW168">
            <v>11909</v>
          </cell>
          <cell r="CX168">
            <v>11909</v>
          </cell>
          <cell r="CY168">
            <v>11909</v>
          </cell>
          <cell r="CZ168">
            <v>11909</v>
          </cell>
          <cell r="DA168">
            <v>8348</v>
          </cell>
          <cell r="DB168">
            <v>11316</v>
          </cell>
          <cell r="DC168">
            <v>11316</v>
          </cell>
          <cell r="DD168">
            <v>11316</v>
          </cell>
          <cell r="DE168">
            <v>11316</v>
          </cell>
          <cell r="DF168">
            <v>11316</v>
          </cell>
          <cell r="DG168">
            <v>12445</v>
          </cell>
          <cell r="DH168">
            <v>136918</v>
          </cell>
        </row>
        <row r="169">
          <cell r="A169" t="str">
            <v>6020170</v>
          </cell>
          <cell r="B169" t="str">
            <v>6020170</v>
          </cell>
          <cell r="C169" t="str">
            <v>LTDisability FAS112</v>
          </cell>
          <cell r="D169">
            <v>24995</v>
          </cell>
          <cell r="E169">
            <v>24995</v>
          </cell>
          <cell r="F169">
            <v>24995</v>
          </cell>
          <cell r="G169">
            <v>24995</v>
          </cell>
          <cell r="H169">
            <v>24995</v>
          </cell>
          <cell r="I169">
            <v>24995</v>
          </cell>
          <cell r="J169">
            <v>24995</v>
          </cell>
          <cell r="K169">
            <v>319419</v>
          </cell>
          <cell r="L169">
            <v>24995</v>
          </cell>
          <cell r="M169">
            <v>24995</v>
          </cell>
          <cell r="N169">
            <v>24995</v>
          </cell>
          <cell r="O169">
            <v>448294.71</v>
          </cell>
          <cell r="P169">
            <v>42000</v>
          </cell>
          <cell r="Q169">
            <v>42000</v>
          </cell>
          <cell r="R169">
            <v>42000</v>
          </cell>
          <cell r="S169">
            <v>42000</v>
          </cell>
          <cell r="T169">
            <v>42000</v>
          </cell>
          <cell r="U169">
            <v>50000</v>
          </cell>
          <cell r="V169">
            <v>125000</v>
          </cell>
          <cell r="W169">
            <v>50000</v>
          </cell>
          <cell r="X169">
            <v>341354.05</v>
          </cell>
          <cell r="Y169">
            <v>25000</v>
          </cell>
          <cell r="Z169">
            <v>25000</v>
          </cell>
          <cell r="AA169">
            <v>-248408.73</v>
          </cell>
          <cell r="AB169">
            <v>65083</v>
          </cell>
          <cell r="AC169">
            <v>42000</v>
          </cell>
          <cell r="AD169">
            <v>30000</v>
          </cell>
          <cell r="AE169">
            <v>30000</v>
          </cell>
          <cell r="AF169">
            <v>25000</v>
          </cell>
          <cell r="AG169">
            <v>150000</v>
          </cell>
          <cell r="AH169">
            <v>25000</v>
          </cell>
          <cell r="AI169">
            <v>25000</v>
          </cell>
          <cell r="AJ169">
            <v>511209.65</v>
          </cell>
          <cell r="AK169">
            <v>75000</v>
          </cell>
          <cell r="AL169">
            <v>75000</v>
          </cell>
          <cell r="AM169">
            <v>-78290.75</v>
          </cell>
          <cell r="AN169">
            <v>67083</v>
          </cell>
          <cell r="AO169">
            <v>50000</v>
          </cell>
          <cell r="AP169">
            <v>50000</v>
          </cell>
          <cell r="AQ169">
            <v>50000</v>
          </cell>
          <cell r="AR169">
            <v>50000</v>
          </cell>
          <cell r="AS169">
            <v>0</v>
          </cell>
          <cell r="AT169">
            <v>50000</v>
          </cell>
          <cell r="AU169">
            <v>50000</v>
          </cell>
          <cell r="AV169">
            <v>580933.69999999995</v>
          </cell>
          <cell r="AW169">
            <v>100000</v>
          </cell>
          <cell r="AX169">
            <v>75000</v>
          </cell>
          <cell r="AY169">
            <v>-313432.24</v>
          </cell>
          <cell r="AZ169">
            <v>0</v>
          </cell>
          <cell r="BA169">
            <v>50000</v>
          </cell>
          <cell r="BB169">
            <v>50000</v>
          </cell>
          <cell r="BC169">
            <v>25000</v>
          </cell>
          <cell r="BD169">
            <v>0</v>
          </cell>
          <cell r="BE169">
            <v>25000</v>
          </cell>
          <cell r="BF169">
            <v>50000</v>
          </cell>
          <cell r="BG169">
            <v>25000</v>
          </cell>
          <cell r="BH169">
            <v>-323370</v>
          </cell>
          <cell r="BI169">
            <v>25000</v>
          </cell>
          <cell r="BJ169">
            <v>25000</v>
          </cell>
          <cell r="BK169">
            <v>-724410.96</v>
          </cell>
          <cell r="BL169">
            <v>69232</v>
          </cell>
          <cell r="BM169">
            <v>69232</v>
          </cell>
          <cell r="BN169">
            <v>69232</v>
          </cell>
          <cell r="BO169">
            <v>69232</v>
          </cell>
          <cell r="BP169">
            <v>25000</v>
          </cell>
          <cell r="BQ169">
            <v>25000</v>
          </cell>
          <cell r="BR169">
            <v>69232</v>
          </cell>
          <cell r="BS169">
            <v>69232</v>
          </cell>
          <cell r="BT169">
            <v>-8605.4699999999993</v>
          </cell>
          <cell r="BU169">
            <v>69232</v>
          </cell>
          <cell r="BV169">
            <v>69232</v>
          </cell>
          <cell r="BW169">
            <v>77560.800000000003</v>
          </cell>
          <cell r="BX169">
            <v>73970</v>
          </cell>
          <cell r="BY169">
            <v>73970</v>
          </cell>
          <cell r="BZ169">
            <v>73970</v>
          </cell>
          <cell r="CA169">
            <v>73970</v>
          </cell>
          <cell r="CB169">
            <v>100000</v>
          </cell>
          <cell r="CC169">
            <v>100000</v>
          </cell>
          <cell r="CD169">
            <v>73970</v>
          </cell>
          <cell r="CE169">
            <v>73970</v>
          </cell>
          <cell r="CF169">
            <v>132686.96</v>
          </cell>
          <cell r="CG169">
            <v>73970</v>
          </cell>
          <cell r="CH169">
            <v>73970</v>
          </cell>
          <cell r="CI169">
            <v>422542</v>
          </cell>
          <cell r="CJ169">
            <v>76190</v>
          </cell>
          <cell r="CK169">
            <v>76190</v>
          </cell>
          <cell r="CL169">
            <v>76190</v>
          </cell>
          <cell r="CM169">
            <v>76190</v>
          </cell>
          <cell r="CN169">
            <v>76190</v>
          </cell>
          <cell r="CO169">
            <v>76190</v>
          </cell>
          <cell r="CP169">
            <v>76190</v>
          </cell>
          <cell r="CQ169">
            <v>76190</v>
          </cell>
          <cell r="CR169">
            <v>727891.37</v>
          </cell>
          <cell r="CS169">
            <v>100000</v>
          </cell>
          <cell r="CT169">
            <v>100000</v>
          </cell>
          <cell r="CU169">
            <v>-2365773</v>
          </cell>
          <cell r="CV169">
            <v>78476</v>
          </cell>
          <cell r="CW169">
            <v>57466</v>
          </cell>
          <cell r="CX169">
            <v>57466</v>
          </cell>
          <cell r="CY169">
            <v>57466</v>
          </cell>
          <cell r="CZ169">
            <v>57466</v>
          </cell>
          <cell r="DA169">
            <v>57466</v>
          </cell>
          <cell r="DB169">
            <v>57466</v>
          </cell>
          <cell r="DC169">
            <v>-256871.44</v>
          </cell>
          <cell r="DD169">
            <v>57466</v>
          </cell>
          <cell r="DE169">
            <v>57466</v>
          </cell>
          <cell r="DF169">
            <v>57466</v>
          </cell>
          <cell r="DG169">
            <v>-443831</v>
          </cell>
          <cell r="DH169">
            <v>-105032.44</v>
          </cell>
        </row>
        <row r="170">
          <cell r="A170" t="str">
            <v>6020180</v>
          </cell>
          <cell r="B170" t="str">
            <v>6020180</v>
          </cell>
          <cell r="C170" t="str">
            <v>LTDisability Premium</v>
          </cell>
          <cell r="D170">
            <v>21940.69</v>
          </cell>
          <cell r="E170">
            <v>46069.45</v>
          </cell>
          <cell r="F170">
            <v>22204.41</v>
          </cell>
          <cell r="G170">
            <v>22337.8</v>
          </cell>
          <cell r="H170">
            <v>22393.89</v>
          </cell>
          <cell r="I170">
            <v>33416.22</v>
          </cell>
          <cell r="J170">
            <v>22241.55</v>
          </cell>
          <cell r="K170">
            <v>22145.65</v>
          </cell>
          <cell r="L170">
            <v>22550.79</v>
          </cell>
          <cell r="M170">
            <v>22492.53</v>
          </cell>
          <cell r="N170">
            <v>33647.68</v>
          </cell>
          <cell r="O170">
            <v>22665.200000000001</v>
          </cell>
          <cell r="P170">
            <v>22015.22</v>
          </cell>
          <cell r="Q170">
            <v>11809.09</v>
          </cell>
          <cell r="R170">
            <v>22903.95</v>
          </cell>
          <cell r="S170">
            <v>12028.89</v>
          </cell>
          <cell r="T170">
            <v>17757.5</v>
          </cell>
          <cell r="U170">
            <v>12033.92</v>
          </cell>
          <cell r="V170">
            <v>12064.71</v>
          </cell>
          <cell r="W170">
            <v>11957.83</v>
          </cell>
          <cell r="X170">
            <v>12000.98</v>
          </cell>
          <cell r="Y170">
            <v>0</v>
          </cell>
          <cell r="Z170">
            <v>30681.16</v>
          </cell>
          <cell r="AA170">
            <v>12643.87</v>
          </cell>
          <cell r="AB170">
            <v>12963.15</v>
          </cell>
          <cell r="AC170">
            <v>12988.35</v>
          </cell>
          <cell r="AD170">
            <v>20992.01</v>
          </cell>
          <cell r="AE170">
            <v>19223.88</v>
          </cell>
          <cell r="AF170">
            <v>12913.14</v>
          </cell>
          <cell r="AG170">
            <v>12941.03</v>
          </cell>
          <cell r="AH170">
            <v>13046.07</v>
          </cell>
          <cell r="AI170">
            <v>13198.71</v>
          </cell>
          <cell r="AJ170">
            <v>13363.21</v>
          </cell>
          <cell r="AK170">
            <v>19842.22</v>
          </cell>
          <cell r="AL170">
            <v>13763.47</v>
          </cell>
          <cell r="AM170">
            <v>13635.03</v>
          </cell>
          <cell r="AN170">
            <v>16441.72</v>
          </cell>
          <cell r="AO170">
            <v>0</v>
          </cell>
          <cell r="AP170">
            <v>40802.730000000003</v>
          </cell>
          <cell r="AQ170">
            <v>22850.85</v>
          </cell>
          <cell r="AR170">
            <v>15651.77</v>
          </cell>
          <cell r="AS170">
            <v>15144.23</v>
          </cell>
          <cell r="AT170">
            <v>15211.46</v>
          </cell>
          <cell r="AU170">
            <v>15564.5</v>
          </cell>
          <cell r="AV170">
            <v>23286.75</v>
          </cell>
          <cell r="AW170">
            <v>0</v>
          </cell>
          <cell r="AX170">
            <v>32240.28</v>
          </cell>
          <cell r="AY170">
            <v>16236.55</v>
          </cell>
          <cell r="AZ170">
            <v>16105.64</v>
          </cell>
          <cell r="BA170">
            <v>16379.71</v>
          </cell>
          <cell r="BB170">
            <v>29286.12</v>
          </cell>
          <cell r="BC170">
            <v>23891.99</v>
          </cell>
          <cell r="BD170">
            <v>16447.77</v>
          </cell>
          <cell r="BE170">
            <v>16326.89</v>
          </cell>
          <cell r="BF170">
            <v>16445.509999999998</v>
          </cell>
          <cell r="BG170">
            <v>16428.93</v>
          </cell>
          <cell r="BH170">
            <v>24805.11</v>
          </cell>
          <cell r="BI170">
            <v>16894.52</v>
          </cell>
          <cell r="BJ170">
            <v>18915.21</v>
          </cell>
          <cell r="BK170">
            <v>18297.72</v>
          </cell>
          <cell r="BL170">
            <v>17679.599999999999</v>
          </cell>
          <cell r="BM170">
            <v>24438.05</v>
          </cell>
          <cell r="BN170">
            <v>29963.15</v>
          </cell>
          <cell r="BO170">
            <v>16382.82</v>
          </cell>
          <cell r="BP170">
            <v>16318</v>
          </cell>
          <cell r="BQ170">
            <v>16317.71</v>
          </cell>
          <cell r="BR170">
            <v>16465.78</v>
          </cell>
          <cell r="BS170">
            <v>16859.810000000001</v>
          </cell>
          <cell r="BT170">
            <v>24989.63</v>
          </cell>
          <cell r="BU170">
            <v>0</v>
          </cell>
          <cell r="BV170">
            <v>35259.040000000001</v>
          </cell>
          <cell r="BW170">
            <v>17297.54</v>
          </cell>
          <cell r="BX170">
            <v>17611.34</v>
          </cell>
          <cell r="BY170">
            <v>25868.54</v>
          </cell>
          <cell r="BZ170">
            <v>34930.67</v>
          </cell>
          <cell r="CA170">
            <v>18050.66</v>
          </cell>
          <cell r="CB170">
            <v>17645.72</v>
          </cell>
          <cell r="CC170">
            <v>17665.650000000001</v>
          </cell>
          <cell r="CD170">
            <v>17791.91</v>
          </cell>
          <cell r="CE170">
            <v>26353.1</v>
          </cell>
          <cell r="CF170">
            <v>18090.63</v>
          </cell>
          <cell r="CG170">
            <v>18106.71</v>
          </cell>
          <cell r="CH170">
            <v>18173.82</v>
          </cell>
          <cell r="CI170">
            <v>18652.099999999999</v>
          </cell>
          <cell r="CJ170">
            <v>27492.28</v>
          </cell>
          <cell r="CK170">
            <v>19095.28</v>
          </cell>
          <cell r="CL170">
            <v>18845.21</v>
          </cell>
          <cell r="CM170">
            <v>34768.44</v>
          </cell>
          <cell r="CN170">
            <v>0</v>
          </cell>
          <cell r="CO170">
            <v>37873.629999999997</v>
          </cell>
          <cell r="CP170">
            <v>18743.240000000002</v>
          </cell>
          <cell r="CQ170">
            <v>28120.97</v>
          </cell>
          <cell r="CR170">
            <v>18862.7</v>
          </cell>
          <cell r="CS170">
            <v>0</v>
          </cell>
          <cell r="CT170">
            <v>38982.99</v>
          </cell>
          <cell r="CU170">
            <v>19481.080000000002</v>
          </cell>
          <cell r="CV170">
            <v>29176.46</v>
          </cell>
          <cell r="CW170">
            <v>0</v>
          </cell>
          <cell r="CX170">
            <v>338.27</v>
          </cell>
          <cell r="CY170">
            <v>71702.61</v>
          </cell>
          <cell r="CZ170">
            <v>18550.759999999998</v>
          </cell>
          <cell r="DA170">
            <v>9667.31</v>
          </cell>
          <cell r="DB170">
            <v>11631.36</v>
          </cell>
          <cell r="DC170">
            <v>46016.41</v>
          </cell>
          <cell r="DD170">
            <v>87637.77</v>
          </cell>
          <cell r="DE170">
            <v>0</v>
          </cell>
          <cell r="DF170">
            <v>30623.54</v>
          </cell>
          <cell r="DG170">
            <v>10446.120000000001</v>
          </cell>
          <cell r="DH170">
            <v>315790.61</v>
          </cell>
        </row>
        <row r="171">
          <cell r="A171" t="str">
            <v>6020220</v>
          </cell>
          <cell r="B171" t="str">
            <v>6020220</v>
          </cell>
          <cell r="C171" t="str">
            <v>Vacations (accrual)</v>
          </cell>
          <cell r="D171">
            <v>5000</v>
          </cell>
          <cell r="E171">
            <v>5000</v>
          </cell>
          <cell r="F171">
            <v>5000</v>
          </cell>
          <cell r="G171">
            <v>5000</v>
          </cell>
          <cell r="H171">
            <v>5000</v>
          </cell>
          <cell r="I171">
            <v>5000</v>
          </cell>
          <cell r="J171">
            <v>5000</v>
          </cell>
          <cell r="K171">
            <v>5000</v>
          </cell>
          <cell r="L171">
            <v>5000</v>
          </cell>
          <cell r="M171">
            <v>5000</v>
          </cell>
          <cell r="N171">
            <v>5000</v>
          </cell>
          <cell r="O171">
            <v>5000</v>
          </cell>
          <cell r="P171">
            <v>5000</v>
          </cell>
          <cell r="Q171">
            <v>5000</v>
          </cell>
          <cell r="R171">
            <v>5000</v>
          </cell>
          <cell r="S171">
            <v>5000</v>
          </cell>
          <cell r="T171">
            <v>5000</v>
          </cell>
          <cell r="U171">
            <v>5000</v>
          </cell>
          <cell r="V171">
            <v>5000</v>
          </cell>
          <cell r="W171">
            <v>5000</v>
          </cell>
          <cell r="X171">
            <v>5000</v>
          </cell>
          <cell r="Y171">
            <v>5000</v>
          </cell>
          <cell r="Z171">
            <v>5000</v>
          </cell>
          <cell r="AA171">
            <v>5000</v>
          </cell>
          <cell r="AB171">
            <v>5000</v>
          </cell>
          <cell r="AC171">
            <v>5000</v>
          </cell>
          <cell r="AD171">
            <v>5000</v>
          </cell>
          <cell r="AE171">
            <v>5000</v>
          </cell>
          <cell r="AF171">
            <v>5000</v>
          </cell>
          <cell r="AG171">
            <v>5000</v>
          </cell>
          <cell r="AH171">
            <v>20000</v>
          </cell>
          <cell r="AI171">
            <v>20000</v>
          </cell>
          <cell r="AJ171">
            <v>20000</v>
          </cell>
          <cell r="AK171">
            <v>20000</v>
          </cell>
          <cell r="AL171">
            <v>20000</v>
          </cell>
          <cell r="AM171">
            <v>370000</v>
          </cell>
          <cell r="AN171">
            <v>15000</v>
          </cell>
          <cell r="AO171">
            <v>15000</v>
          </cell>
          <cell r="AP171">
            <v>15000</v>
          </cell>
          <cell r="AQ171">
            <v>15000</v>
          </cell>
          <cell r="AR171">
            <v>15000</v>
          </cell>
          <cell r="AS171">
            <v>15000</v>
          </cell>
          <cell r="AT171">
            <v>15000</v>
          </cell>
          <cell r="AU171">
            <v>15000</v>
          </cell>
          <cell r="AV171">
            <v>15000</v>
          </cell>
          <cell r="AW171">
            <v>15000</v>
          </cell>
          <cell r="AX171">
            <v>15000</v>
          </cell>
          <cell r="AY171">
            <v>15000</v>
          </cell>
          <cell r="AZ171">
            <v>15000</v>
          </cell>
          <cell r="BA171">
            <v>15000</v>
          </cell>
          <cell r="BB171">
            <v>15000</v>
          </cell>
          <cell r="BC171">
            <v>15000</v>
          </cell>
          <cell r="BD171">
            <v>15000</v>
          </cell>
          <cell r="BE171">
            <v>15000</v>
          </cell>
          <cell r="BF171">
            <v>15000</v>
          </cell>
          <cell r="BG171">
            <v>15000</v>
          </cell>
          <cell r="BH171">
            <v>15000</v>
          </cell>
          <cell r="BI171">
            <v>15000</v>
          </cell>
          <cell r="BJ171">
            <v>15000</v>
          </cell>
          <cell r="BK171">
            <v>94051.03</v>
          </cell>
          <cell r="BL171">
            <v>15006</v>
          </cell>
          <cell r="BM171">
            <v>15006</v>
          </cell>
          <cell r="BN171">
            <v>15006</v>
          </cell>
          <cell r="BO171">
            <v>15006</v>
          </cell>
          <cell r="BP171">
            <v>15006</v>
          </cell>
          <cell r="BQ171">
            <v>15006</v>
          </cell>
          <cell r="BR171">
            <v>15006</v>
          </cell>
          <cell r="BS171">
            <v>15006</v>
          </cell>
          <cell r="BT171">
            <v>15006</v>
          </cell>
          <cell r="BU171">
            <v>15006</v>
          </cell>
          <cell r="BV171">
            <v>15006</v>
          </cell>
          <cell r="BW171">
            <v>106646.35</v>
          </cell>
          <cell r="BX171">
            <v>15005.5</v>
          </cell>
          <cell r="BY171">
            <v>15005.5</v>
          </cell>
          <cell r="BZ171">
            <v>15005.5</v>
          </cell>
          <cell r="CA171">
            <v>15005.5</v>
          </cell>
          <cell r="CB171">
            <v>15005.5</v>
          </cell>
          <cell r="CC171">
            <v>181672.17</v>
          </cell>
          <cell r="CD171">
            <v>15005.5</v>
          </cell>
          <cell r="CE171">
            <v>15005.5</v>
          </cell>
          <cell r="CF171">
            <v>181672.17</v>
          </cell>
          <cell r="CG171">
            <v>15005.5</v>
          </cell>
          <cell r="CH171">
            <v>15005.5</v>
          </cell>
          <cell r="CI171">
            <v>302260.5</v>
          </cell>
          <cell r="CJ171">
            <v>15500</v>
          </cell>
          <cell r="CK171">
            <v>15500</v>
          </cell>
          <cell r="CL171">
            <v>-368153</v>
          </cell>
          <cell r="CM171">
            <v>15500</v>
          </cell>
          <cell r="CN171">
            <v>15500</v>
          </cell>
          <cell r="CO171">
            <v>15500</v>
          </cell>
          <cell r="CP171">
            <v>15500</v>
          </cell>
          <cell r="CQ171">
            <v>15500</v>
          </cell>
          <cell r="CR171">
            <v>15500</v>
          </cell>
          <cell r="CS171">
            <v>15500</v>
          </cell>
          <cell r="CT171">
            <v>15500</v>
          </cell>
          <cell r="CU171">
            <v>60956.51</v>
          </cell>
          <cell r="CV171">
            <v>15965</v>
          </cell>
          <cell r="CW171">
            <v>15965</v>
          </cell>
          <cell r="CX171">
            <v>15965</v>
          </cell>
          <cell r="CY171">
            <v>15965</v>
          </cell>
          <cell r="CZ171">
            <v>15965</v>
          </cell>
          <cell r="DA171">
            <v>15965</v>
          </cell>
          <cell r="DB171">
            <v>15965</v>
          </cell>
          <cell r="DC171">
            <v>15965</v>
          </cell>
          <cell r="DD171">
            <v>15965</v>
          </cell>
          <cell r="DE171">
            <v>15965</v>
          </cell>
          <cell r="DF171">
            <v>15965</v>
          </cell>
          <cell r="DG171">
            <v>420124.74</v>
          </cell>
          <cell r="DH171">
            <v>595739.74</v>
          </cell>
        </row>
        <row r="172">
          <cell r="A172" t="str">
            <v>6020230</v>
          </cell>
          <cell r="B172" t="str">
            <v>6020230</v>
          </cell>
          <cell r="C172" t="str">
            <v>Restoration Plan Exp</v>
          </cell>
          <cell r="AE172">
            <v>0</v>
          </cell>
          <cell r="AF172">
            <v>828.75</v>
          </cell>
          <cell r="AG172">
            <v>165.75</v>
          </cell>
          <cell r="AH172">
            <v>165.75</v>
          </cell>
          <cell r="AI172">
            <v>165.75</v>
          </cell>
          <cell r="AJ172">
            <v>172</v>
          </cell>
          <cell r="AK172">
            <v>168</v>
          </cell>
          <cell r="AL172">
            <v>168</v>
          </cell>
          <cell r="AM172">
            <v>168</v>
          </cell>
          <cell r="AN172">
            <v>174</v>
          </cell>
          <cell r="AO172">
            <v>174</v>
          </cell>
          <cell r="AP172">
            <v>174</v>
          </cell>
          <cell r="AQ172">
            <v>174</v>
          </cell>
          <cell r="AR172">
            <v>174</v>
          </cell>
          <cell r="AS172">
            <v>18926</v>
          </cell>
          <cell r="AT172">
            <v>3299</v>
          </cell>
          <cell r="AU172">
            <v>3299</v>
          </cell>
          <cell r="AV172">
            <v>3299</v>
          </cell>
          <cell r="AW172">
            <v>3299</v>
          </cell>
          <cell r="AX172">
            <v>3299</v>
          </cell>
          <cell r="AY172">
            <v>3299</v>
          </cell>
          <cell r="AZ172">
            <v>3582</v>
          </cell>
          <cell r="BA172">
            <v>3682</v>
          </cell>
          <cell r="BB172">
            <v>3632</v>
          </cell>
          <cell r="BC172">
            <v>3632</v>
          </cell>
          <cell r="BD172">
            <v>17706.75</v>
          </cell>
          <cell r="BE172">
            <v>10631</v>
          </cell>
          <cell r="BF172">
            <v>10631</v>
          </cell>
          <cell r="BG172">
            <v>10340</v>
          </cell>
          <cell r="BH172">
            <v>10340</v>
          </cell>
          <cell r="BI172">
            <v>10340</v>
          </cell>
          <cell r="BJ172">
            <v>10340</v>
          </cell>
          <cell r="BK172">
            <v>10340</v>
          </cell>
          <cell r="BL172">
            <v>9313</v>
          </cell>
          <cell r="BM172">
            <v>9313</v>
          </cell>
          <cell r="BN172">
            <v>9313</v>
          </cell>
          <cell r="BO172">
            <v>9313</v>
          </cell>
          <cell r="BP172">
            <v>9313</v>
          </cell>
          <cell r="BQ172">
            <v>6204</v>
          </cell>
          <cell r="BR172">
            <v>8794</v>
          </cell>
          <cell r="BS172">
            <v>8794</v>
          </cell>
          <cell r="BT172">
            <v>8794</v>
          </cell>
          <cell r="BU172">
            <v>8794</v>
          </cell>
          <cell r="BV172">
            <v>8794</v>
          </cell>
          <cell r="BW172">
            <v>8794</v>
          </cell>
          <cell r="BX172">
            <v>11441</v>
          </cell>
          <cell r="BY172">
            <v>11441</v>
          </cell>
          <cell r="BZ172">
            <v>11441</v>
          </cell>
          <cell r="CA172">
            <v>11441</v>
          </cell>
          <cell r="CB172">
            <v>11441</v>
          </cell>
          <cell r="CC172">
            <v>53285</v>
          </cell>
          <cell r="CD172">
            <v>18415</v>
          </cell>
          <cell r="CE172">
            <v>18415</v>
          </cell>
          <cell r="CF172">
            <v>18415</v>
          </cell>
          <cell r="CG172">
            <v>18415</v>
          </cell>
          <cell r="CH172">
            <v>18415</v>
          </cell>
          <cell r="CI172">
            <v>18415</v>
          </cell>
          <cell r="CJ172">
            <v>19907</v>
          </cell>
          <cell r="CK172">
            <v>19907</v>
          </cell>
          <cell r="CL172">
            <v>19907</v>
          </cell>
          <cell r="CM172">
            <v>19907</v>
          </cell>
          <cell r="CN172">
            <v>19907</v>
          </cell>
          <cell r="CO172">
            <v>19907</v>
          </cell>
          <cell r="CP172">
            <v>43256</v>
          </cell>
          <cell r="CQ172">
            <v>23242</v>
          </cell>
          <cell r="CR172">
            <v>23242</v>
          </cell>
          <cell r="CS172">
            <v>23242</v>
          </cell>
          <cell r="CT172">
            <v>23242</v>
          </cell>
          <cell r="CU172">
            <v>23242</v>
          </cell>
          <cell r="CV172">
            <v>9926</v>
          </cell>
          <cell r="CW172">
            <v>9926</v>
          </cell>
          <cell r="CX172">
            <v>9926</v>
          </cell>
          <cell r="CY172">
            <v>9926</v>
          </cell>
          <cell r="CZ172">
            <v>9926</v>
          </cell>
          <cell r="DA172">
            <v>1172797</v>
          </cell>
          <cell r="DB172">
            <v>13174</v>
          </cell>
          <cell r="DC172">
            <v>13174</v>
          </cell>
          <cell r="DD172">
            <v>13174</v>
          </cell>
          <cell r="DE172">
            <v>13174</v>
          </cell>
          <cell r="DF172">
            <v>13174</v>
          </cell>
          <cell r="DG172">
            <v>13174</v>
          </cell>
          <cell r="DH172">
            <v>1301471</v>
          </cell>
        </row>
        <row r="173">
          <cell r="A173" t="str">
            <v>6020240</v>
          </cell>
          <cell r="B173" t="str">
            <v>6020240</v>
          </cell>
          <cell r="C173" t="str">
            <v>Employer Match on Common Stock Purchase Program</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7234.79</v>
          </cell>
          <cell r="AZ173">
            <v>6939.51</v>
          </cell>
          <cell r="BA173">
            <v>0</v>
          </cell>
          <cell r="BB173">
            <v>0</v>
          </cell>
          <cell r="BC173">
            <v>0</v>
          </cell>
          <cell r="BD173">
            <v>5349.73</v>
          </cell>
          <cell r="BE173">
            <v>0</v>
          </cell>
          <cell r="BF173">
            <v>0</v>
          </cell>
          <cell r="BG173">
            <v>3818.32</v>
          </cell>
          <cell r="BH173">
            <v>0</v>
          </cell>
          <cell r="BI173">
            <v>0</v>
          </cell>
          <cell r="BJ173">
            <v>4232.25</v>
          </cell>
          <cell r="BK173">
            <v>0</v>
          </cell>
          <cell r="BL173">
            <v>0</v>
          </cell>
          <cell r="BM173">
            <v>5598.65</v>
          </cell>
          <cell r="BN173">
            <v>0</v>
          </cell>
          <cell r="BO173">
            <v>0</v>
          </cell>
          <cell r="BP173">
            <v>0</v>
          </cell>
          <cell r="BQ173">
            <v>5672.3</v>
          </cell>
          <cell r="BR173">
            <v>0</v>
          </cell>
          <cell r="BS173">
            <v>5835.78</v>
          </cell>
          <cell r="BT173">
            <v>0</v>
          </cell>
          <cell r="BU173">
            <v>0</v>
          </cell>
          <cell r="BV173">
            <v>3980.47</v>
          </cell>
          <cell r="BW173">
            <v>0</v>
          </cell>
          <cell r="BX173">
            <v>0</v>
          </cell>
          <cell r="BY173">
            <v>0</v>
          </cell>
          <cell r="BZ173">
            <v>0</v>
          </cell>
          <cell r="CA173">
            <v>6104.02</v>
          </cell>
          <cell r="CB173">
            <v>12216.07</v>
          </cell>
          <cell r="CC173">
            <v>0</v>
          </cell>
          <cell r="CD173">
            <v>0</v>
          </cell>
          <cell r="CE173">
            <v>0</v>
          </cell>
          <cell r="CF173">
            <v>22651.19</v>
          </cell>
          <cell r="CG173">
            <v>0</v>
          </cell>
          <cell r="CH173">
            <v>14086.82</v>
          </cell>
          <cell r="CI173">
            <v>0</v>
          </cell>
          <cell r="CJ173">
            <v>6097.51</v>
          </cell>
          <cell r="CK173">
            <v>0</v>
          </cell>
          <cell r="CL173">
            <v>12976.41</v>
          </cell>
          <cell r="CM173">
            <v>0</v>
          </cell>
          <cell r="CN173">
            <v>21146.25</v>
          </cell>
          <cell r="CO173">
            <v>0</v>
          </cell>
          <cell r="CP173">
            <v>0</v>
          </cell>
          <cell r="CQ173">
            <v>5952.96</v>
          </cell>
          <cell r="CR173">
            <v>13591.66</v>
          </cell>
          <cell r="CS173">
            <v>0</v>
          </cell>
          <cell r="CT173">
            <v>20602.16</v>
          </cell>
          <cell r="CU173">
            <v>6403.54</v>
          </cell>
          <cell r="CV173">
            <v>0</v>
          </cell>
          <cell r="CW173">
            <v>0</v>
          </cell>
          <cell r="CX173">
            <v>8014.93</v>
          </cell>
          <cell r="CY173">
            <v>0</v>
          </cell>
          <cell r="CZ173">
            <v>0</v>
          </cell>
          <cell r="DA173">
            <v>16461.02</v>
          </cell>
          <cell r="DB173">
            <v>0</v>
          </cell>
          <cell r="DC173">
            <v>23486.799999999999</v>
          </cell>
          <cell r="DD173">
            <v>0</v>
          </cell>
          <cell r="DE173">
            <v>0</v>
          </cell>
          <cell r="DF173">
            <v>0</v>
          </cell>
          <cell r="DG173">
            <v>13216.08</v>
          </cell>
          <cell r="DH173">
            <v>61178.83</v>
          </cell>
        </row>
        <row r="174">
          <cell r="A174" t="str">
            <v>6020800</v>
          </cell>
          <cell r="B174" t="str">
            <v>6020800</v>
          </cell>
          <cell r="C174" t="str">
            <v>Benefits-Other</v>
          </cell>
          <cell r="U174">
            <v>0</v>
          </cell>
          <cell r="V174">
            <v>0</v>
          </cell>
          <cell r="W174">
            <v>0</v>
          </cell>
          <cell r="X174">
            <v>3000</v>
          </cell>
          <cell r="Y174">
            <v>0</v>
          </cell>
          <cell r="Z174">
            <v>0</v>
          </cell>
          <cell r="AA174">
            <v>0</v>
          </cell>
          <cell r="AB174">
            <v>1750.56</v>
          </cell>
          <cell r="AC174">
            <v>9708.8799999999992</v>
          </cell>
          <cell r="AD174">
            <v>1667.2</v>
          </cell>
          <cell r="AE174">
            <v>1708.88</v>
          </cell>
          <cell r="AF174">
            <v>1708.88</v>
          </cell>
          <cell r="AG174">
            <v>1708.88</v>
          </cell>
          <cell r="AH174">
            <v>1708.88</v>
          </cell>
          <cell r="AI174">
            <v>1854.76</v>
          </cell>
          <cell r="AJ174">
            <v>1854.76</v>
          </cell>
          <cell r="AK174">
            <v>1875.6</v>
          </cell>
          <cell r="AL174">
            <v>1688.04</v>
          </cell>
          <cell r="AM174">
            <v>1708.88</v>
          </cell>
          <cell r="AN174">
            <v>1500.48</v>
          </cell>
          <cell r="AO174">
            <v>1479.64</v>
          </cell>
          <cell r="AP174">
            <v>1458.8</v>
          </cell>
          <cell r="AQ174">
            <v>1417.12</v>
          </cell>
          <cell r="AR174">
            <v>1458.8</v>
          </cell>
          <cell r="AS174">
            <v>1375.44</v>
          </cell>
          <cell r="AT174">
            <v>1417.12</v>
          </cell>
          <cell r="AU174">
            <v>1999.97</v>
          </cell>
          <cell r="AV174">
            <v>1521.32</v>
          </cell>
          <cell r="AW174">
            <v>1500.48</v>
          </cell>
          <cell r="AX174">
            <v>1521.32</v>
          </cell>
          <cell r="AY174">
            <v>1458.8</v>
          </cell>
          <cell r="AZ174">
            <v>1417.12</v>
          </cell>
          <cell r="BA174">
            <v>1396.28</v>
          </cell>
          <cell r="BB174">
            <v>1563</v>
          </cell>
          <cell r="BC174">
            <v>1625.52</v>
          </cell>
          <cell r="BD174">
            <v>1708.88</v>
          </cell>
          <cell r="BE174">
            <v>1667.2</v>
          </cell>
          <cell r="BF174">
            <v>1583.84</v>
          </cell>
          <cell r="BG174">
            <v>1604.68</v>
          </cell>
          <cell r="BH174">
            <v>1583.84</v>
          </cell>
          <cell r="BI174">
            <v>3680.38</v>
          </cell>
          <cell r="BJ174">
            <v>4211.2299999999996</v>
          </cell>
          <cell r="BK174">
            <v>7579.18</v>
          </cell>
          <cell r="BL174">
            <v>4347.96</v>
          </cell>
          <cell r="BM174">
            <v>4428.26</v>
          </cell>
          <cell r="BN174">
            <v>4060.49</v>
          </cell>
          <cell r="BO174">
            <v>1542.16</v>
          </cell>
          <cell r="BP174">
            <v>7856.51</v>
          </cell>
          <cell r="BQ174">
            <v>4388.12</v>
          </cell>
          <cell r="BR174">
            <v>5212.53</v>
          </cell>
          <cell r="BS174">
            <v>5831.39</v>
          </cell>
          <cell r="BT174">
            <v>6044.71</v>
          </cell>
          <cell r="BU174">
            <v>5595.04</v>
          </cell>
          <cell r="BV174">
            <v>7386.59</v>
          </cell>
          <cell r="BW174">
            <v>55745.53</v>
          </cell>
          <cell r="BX174">
            <v>5165.8599999999997</v>
          </cell>
          <cell r="BY174">
            <v>12503.72</v>
          </cell>
          <cell r="BZ174">
            <v>12890.27</v>
          </cell>
          <cell r="CA174">
            <v>7826.96</v>
          </cell>
          <cell r="CB174">
            <v>17327.93</v>
          </cell>
          <cell r="CC174">
            <v>16819.23</v>
          </cell>
          <cell r="CD174">
            <v>9724.7099999999991</v>
          </cell>
          <cell r="CE174">
            <v>8691.69</v>
          </cell>
          <cell r="CF174">
            <v>33835.14</v>
          </cell>
          <cell r="CG174">
            <v>9146.35</v>
          </cell>
          <cell r="CH174">
            <v>9888.44</v>
          </cell>
          <cell r="CI174">
            <v>55866.73</v>
          </cell>
          <cell r="CJ174">
            <v>6306.76</v>
          </cell>
          <cell r="CK174">
            <v>7793.39</v>
          </cell>
          <cell r="CL174">
            <v>-54359.8</v>
          </cell>
          <cell r="CM174">
            <v>50656.24</v>
          </cell>
          <cell r="CN174">
            <v>34299.11</v>
          </cell>
          <cell r="CO174">
            <v>35964.239999999998</v>
          </cell>
          <cell r="CP174">
            <v>10674.59</v>
          </cell>
          <cell r="CQ174">
            <v>-20602.89</v>
          </cell>
          <cell r="CR174">
            <v>45962.23</v>
          </cell>
          <cell r="CS174">
            <v>5735.77</v>
          </cell>
          <cell r="CT174">
            <v>6604.49</v>
          </cell>
          <cell r="CU174">
            <v>88602.49</v>
          </cell>
          <cell r="CV174">
            <v>14543.62</v>
          </cell>
          <cell r="CW174">
            <v>17496.62</v>
          </cell>
          <cell r="CX174">
            <v>30565.01</v>
          </cell>
          <cell r="CY174">
            <v>8677.73</v>
          </cell>
          <cell r="CZ174">
            <v>16879.84</v>
          </cell>
          <cell r="DA174">
            <v>88039.77</v>
          </cell>
          <cell r="DB174">
            <v>4984.62</v>
          </cell>
          <cell r="DC174">
            <v>11053.67</v>
          </cell>
          <cell r="DD174">
            <v>66500.759999999995</v>
          </cell>
          <cell r="DE174">
            <v>14168.08</v>
          </cell>
          <cell r="DF174">
            <v>5379.6</v>
          </cell>
          <cell r="DG174">
            <v>64374.33</v>
          </cell>
          <cell r="DH174">
            <v>342663.65</v>
          </cell>
        </row>
        <row r="175">
          <cell r="A175" t="str">
            <v>6020900</v>
          </cell>
          <cell r="B175" t="str">
            <v>6020900</v>
          </cell>
          <cell r="C175" t="str">
            <v>Employee Incentive</v>
          </cell>
          <cell r="D175">
            <v>170946</v>
          </cell>
          <cell r="E175">
            <v>133574.88</v>
          </cell>
          <cell r="F175">
            <v>170946</v>
          </cell>
          <cell r="G175">
            <v>170946</v>
          </cell>
          <cell r="H175">
            <v>170946</v>
          </cell>
          <cell r="I175">
            <v>170946</v>
          </cell>
          <cell r="J175">
            <v>170946</v>
          </cell>
          <cell r="K175">
            <v>170946</v>
          </cell>
          <cell r="L175">
            <v>941946</v>
          </cell>
          <cell r="M175">
            <v>170946</v>
          </cell>
          <cell r="N175">
            <v>170946</v>
          </cell>
          <cell r="O175">
            <v>424642.44</v>
          </cell>
          <cell r="P175">
            <v>172327.15</v>
          </cell>
          <cell r="Q175">
            <v>-58279.71</v>
          </cell>
          <cell r="R175">
            <v>925327.15</v>
          </cell>
          <cell r="S175">
            <v>357327.15</v>
          </cell>
          <cell r="T175">
            <v>46327.15</v>
          </cell>
          <cell r="U175">
            <v>305327.15000000002</v>
          </cell>
          <cell r="V175">
            <v>63327.15</v>
          </cell>
          <cell r="W175">
            <v>193327.15</v>
          </cell>
          <cell r="X175">
            <v>-39013.699999999997</v>
          </cell>
          <cell r="Y175">
            <v>139327.15</v>
          </cell>
          <cell r="Z175">
            <v>548327.15</v>
          </cell>
          <cell r="AA175">
            <v>-784641.8</v>
          </cell>
          <cell r="AB175">
            <v>169166.67</v>
          </cell>
          <cell r="AC175">
            <v>169290.52</v>
          </cell>
          <cell r="AD175">
            <v>169166.67</v>
          </cell>
          <cell r="AE175">
            <v>169166.67</v>
          </cell>
          <cell r="AF175">
            <v>169166.67</v>
          </cell>
          <cell r="AG175">
            <v>169166.67</v>
          </cell>
          <cell r="AH175">
            <v>429166.67</v>
          </cell>
          <cell r="AI175">
            <v>993166.67</v>
          </cell>
          <cell r="AJ175">
            <v>208166.67</v>
          </cell>
          <cell r="AK175">
            <v>149166.67000000001</v>
          </cell>
          <cell r="AL175">
            <v>-452833.33</v>
          </cell>
          <cell r="AM175">
            <v>176166.67</v>
          </cell>
          <cell r="AN175">
            <v>185416.67</v>
          </cell>
          <cell r="AO175">
            <v>319479.8</v>
          </cell>
          <cell r="AP175">
            <v>289142.12</v>
          </cell>
          <cell r="AQ175">
            <v>185416.67</v>
          </cell>
          <cell r="AR175">
            <v>185416.67</v>
          </cell>
          <cell r="AS175">
            <v>260416.67</v>
          </cell>
          <cell r="AT175">
            <v>197916.67</v>
          </cell>
          <cell r="AU175">
            <v>197916.67</v>
          </cell>
          <cell r="AV175">
            <v>197916.67</v>
          </cell>
          <cell r="AW175">
            <v>-59181</v>
          </cell>
          <cell r="AX175">
            <v>172207</v>
          </cell>
          <cell r="AY175">
            <v>396747</v>
          </cell>
          <cell r="AZ175">
            <v>234827.37</v>
          </cell>
          <cell r="BA175">
            <v>936235.29</v>
          </cell>
          <cell r="BB175">
            <v>243064.67</v>
          </cell>
          <cell r="BC175">
            <v>234827.37</v>
          </cell>
          <cell r="BD175">
            <v>234827.37</v>
          </cell>
          <cell r="BE175">
            <v>240525.45</v>
          </cell>
          <cell r="BF175">
            <v>357355.16</v>
          </cell>
          <cell r="BG175">
            <v>652331.34</v>
          </cell>
          <cell r="BH175">
            <v>357418.04</v>
          </cell>
          <cell r="BI175">
            <v>308452.09999999998</v>
          </cell>
          <cell r="BJ175">
            <v>308452.09999999998</v>
          </cell>
          <cell r="BK175">
            <v>386499.04</v>
          </cell>
          <cell r="BL175">
            <v>324001.25</v>
          </cell>
          <cell r="BM175">
            <v>421100.34</v>
          </cell>
          <cell r="BN175">
            <v>337580.97</v>
          </cell>
          <cell r="BO175">
            <v>324001.25</v>
          </cell>
          <cell r="BP175">
            <v>324001.25</v>
          </cell>
          <cell r="BQ175">
            <v>324001.25</v>
          </cell>
          <cell r="BR175">
            <v>324001.25</v>
          </cell>
          <cell r="BS175">
            <v>324001.25</v>
          </cell>
          <cell r="BT175">
            <v>451951.25</v>
          </cell>
          <cell r="BU175">
            <v>338217.92</v>
          </cell>
          <cell r="BV175">
            <v>1088217.92</v>
          </cell>
          <cell r="BW175">
            <v>426648.1</v>
          </cell>
          <cell r="BX175">
            <v>378176</v>
          </cell>
          <cell r="BY175">
            <v>344902</v>
          </cell>
          <cell r="BZ175">
            <v>355817.95</v>
          </cell>
          <cell r="CA175">
            <v>359631.95</v>
          </cell>
          <cell r="CB175">
            <v>359631.95</v>
          </cell>
          <cell r="CC175">
            <v>207448.21</v>
          </cell>
          <cell r="CD175">
            <v>334268</v>
          </cell>
          <cell r="CE175">
            <v>334268</v>
          </cell>
          <cell r="CF175">
            <v>627902.32999999996</v>
          </cell>
          <cell r="CG175">
            <v>366894</v>
          </cell>
          <cell r="CH175">
            <v>366894</v>
          </cell>
          <cell r="CI175">
            <v>567739</v>
          </cell>
          <cell r="CJ175">
            <v>374838</v>
          </cell>
          <cell r="CK175">
            <v>374838</v>
          </cell>
          <cell r="CL175">
            <v>374838</v>
          </cell>
          <cell r="CM175">
            <v>237366</v>
          </cell>
          <cell r="CN175">
            <v>340470.17</v>
          </cell>
          <cell r="CO175">
            <v>340470.17</v>
          </cell>
          <cell r="CP175">
            <v>340470.17</v>
          </cell>
          <cell r="CQ175">
            <v>340470.17</v>
          </cell>
          <cell r="CR175">
            <v>340470.17</v>
          </cell>
          <cell r="CS175">
            <v>1077965.52</v>
          </cell>
          <cell r="CT175">
            <v>414219.64</v>
          </cell>
          <cell r="CU175">
            <v>1656836.92</v>
          </cell>
          <cell r="CV175">
            <v>496416.67</v>
          </cell>
          <cell r="CW175">
            <v>496416.67</v>
          </cell>
          <cell r="CX175">
            <v>11870.22</v>
          </cell>
          <cell r="CY175">
            <v>496416.67</v>
          </cell>
          <cell r="CZ175">
            <v>496416.67</v>
          </cell>
          <cell r="DA175">
            <v>496416.67</v>
          </cell>
          <cell r="DB175">
            <v>496416.67</v>
          </cell>
          <cell r="DC175">
            <v>538916.67000000004</v>
          </cell>
          <cell r="DD175">
            <v>517666.67</v>
          </cell>
          <cell r="DE175">
            <v>517666.67</v>
          </cell>
          <cell r="DF175">
            <v>1169688</v>
          </cell>
          <cell r="DG175">
            <v>986385</v>
          </cell>
          <cell r="DH175">
            <v>6720693.25</v>
          </cell>
        </row>
        <row r="176">
          <cell r="A176" t="str">
            <v>6020920</v>
          </cell>
          <cell r="B176" t="str">
            <v>6020920</v>
          </cell>
          <cell r="C176" t="str">
            <v>Emp Service Awards</v>
          </cell>
          <cell r="D176">
            <v>20.34</v>
          </cell>
          <cell r="E176">
            <v>2235</v>
          </cell>
          <cell r="F176">
            <v>2195.21</v>
          </cell>
          <cell r="G176">
            <v>1218.3900000000001</v>
          </cell>
          <cell r="H176">
            <v>1767.1</v>
          </cell>
          <cell r="I176">
            <v>2182.8200000000002</v>
          </cell>
          <cell r="J176">
            <v>1961.39</v>
          </cell>
          <cell r="K176">
            <v>2692.55</v>
          </cell>
          <cell r="L176">
            <v>1921</v>
          </cell>
          <cell r="M176">
            <v>3528</v>
          </cell>
          <cell r="N176">
            <v>4587.83</v>
          </cell>
          <cell r="O176">
            <v>2435</v>
          </cell>
          <cell r="P176">
            <v>0</v>
          </cell>
          <cell r="Q176">
            <v>2478</v>
          </cell>
          <cell r="R176">
            <v>1717.5</v>
          </cell>
          <cell r="S176">
            <v>1806.86</v>
          </cell>
          <cell r="T176">
            <v>2138.7399999999998</v>
          </cell>
          <cell r="U176">
            <v>4659.5</v>
          </cell>
          <cell r="V176">
            <v>2528.48</v>
          </cell>
          <cell r="W176">
            <v>1046.1199999999999</v>
          </cell>
          <cell r="X176">
            <v>3238.5</v>
          </cell>
          <cell r="Y176">
            <v>2013.62</v>
          </cell>
          <cell r="Z176">
            <v>1314</v>
          </cell>
          <cell r="AA176">
            <v>1674.5</v>
          </cell>
          <cell r="AB176">
            <v>3097.2</v>
          </cell>
          <cell r="AC176">
            <v>1453.85</v>
          </cell>
          <cell r="AD176">
            <v>2643.7</v>
          </cell>
          <cell r="AE176">
            <v>2521.35</v>
          </cell>
          <cell r="AF176">
            <v>829.7</v>
          </cell>
          <cell r="AG176">
            <v>2856</v>
          </cell>
          <cell r="AH176">
            <v>0</v>
          </cell>
          <cell r="AI176">
            <v>1440.2</v>
          </cell>
          <cell r="AJ176">
            <v>1742</v>
          </cell>
          <cell r="AK176">
            <v>1564</v>
          </cell>
          <cell r="AL176">
            <v>910.5</v>
          </cell>
          <cell r="AM176">
            <v>269.98</v>
          </cell>
          <cell r="AN176">
            <v>176.1</v>
          </cell>
          <cell r="AO176">
            <v>2254.7600000000002</v>
          </cell>
          <cell r="AP176">
            <v>4126.47</v>
          </cell>
          <cell r="AQ176">
            <v>117.4</v>
          </cell>
          <cell r="AR176">
            <v>5799.52</v>
          </cell>
          <cell r="AS176">
            <v>58.7</v>
          </cell>
          <cell r="AT176">
            <v>2130.63</v>
          </cell>
          <cell r="AU176">
            <v>11112.07</v>
          </cell>
          <cell r="AV176">
            <v>74.349999999999994</v>
          </cell>
          <cell r="AW176">
            <v>0</v>
          </cell>
          <cell r="AX176">
            <v>2817.85</v>
          </cell>
          <cell r="AY176">
            <v>1276.0999999999999</v>
          </cell>
          <cell r="AZ176">
            <v>0</v>
          </cell>
          <cell r="BA176">
            <v>145.44999999999999</v>
          </cell>
          <cell r="BB176">
            <v>1023.62</v>
          </cell>
          <cell r="BC176">
            <v>8796.7000000000007</v>
          </cell>
          <cell r="BD176">
            <v>1326.7</v>
          </cell>
          <cell r="BE176">
            <v>486.45</v>
          </cell>
          <cell r="BF176">
            <v>1405.67</v>
          </cell>
          <cell r="BG176">
            <v>165.55</v>
          </cell>
          <cell r="BH176">
            <v>2819.05</v>
          </cell>
          <cell r="BI176">
            <v>25</v>
          </cell>
          <cell r="BJ176">
            <v>58.7</v>
          </cell>
          <cell r="BK176">
            <v>3535.3</v>
          </cell>
          <cell r="BL176">
            <v>-75.48</v>
          </cell>
          <cell r="BM176">
            <v>5825.5</v>
          </cell>
          <cell r="BN176">
            <v>89.28</v>
          </cell>
          <cell r="BO176">
            <v>2006.77</v>
          </cell>
          <cell r="BP176">
            <v>2320.19</v>
          </cell>
          <cell r="BQ176">
            <v>105.02</v>
          </cell>
          <cell r="BR176">
            <v>4200.7299999999996</v>
          </cell>
          <cell r="BS176">
            <v>29.76</v>
          </cell>
          <cell r="BT176">
            <v>1366.53</v>
          </cell>
          <cell r="BU176">
            <v>4656.97</v>
          </cell>
          <cell r="BV176">
            <v>1240.4100000000001</v>
          </cell>
          <cell r="BW176">
            <v>5257.63</v>
          </cell>
          <cell r="BX176">
            <v>161.44</v>
          </cell>
          <cell r="BY176">
            <v>3775.97</v>
          </cell>
          <cell r="BZ176">
            <v>1374.38</v>
          </cell>
          <cell r="CA176">
            <v>189.4</v>
          </cell>
          <cell r="CB176">
            <v>0</v>
          </cell>
          <cell r="CC176">
            <v>3742.65</v>
          </cell>
          <cell r="CD176">
            <v>5683.19</v>
          </cell>
          <cell r="CE176">
            <v>60.4</v>
          </cell>
          <cell r="CF176">
            <v>2479.1799999999998</v>
          </cell>
          <cell r="CG176">
            <v>0</v>
          </cell>
          <cell r="CH176">
            <v>3195</v>
          </cell>
          <cell r="CI176">
            <v>0</v>
          </cell>
          <cell r="CJ176">
            <v>300</v>
          </cell>
          <cell r="CK176">
            <v>1250.67</v>
          </cell>
          <cell r="CL176">
            <v>5195</v>
          </cell>
          <cell r="CM176">
            <v>0</v>
          </cell>
          <cell r="CN176">
            <v>40</v>
          </cell>
          <cell r="CO176">
            <v>2303.6999999999998</v>
          </cell>
          <cell r="CP176">
            <v>941.46</v>
          </cell>
          <cell r="CQ176">
            <v>925</v>
          </cell>
          <cell r="CR176">
            <v>4400</v>
          </cell>
          <cell r="CS176">
            <v>1950</v>
          </cell>
          <cell r="CT176">
            <v>2000</v>
          </cell>
          <cell r="CU176">
            <v>898.78</v>
          </cell>
          <cell r="CV176">
            <v>2000</v>
          </cell>
          <cell r="CW176">
            <v>4000</v>
          </cell>
          <cell r="CX176">
            <v>2500</v>
          </cell>
          <cell r="CY176">
            <v>0</v>
          </cell>
          <cell r="CZ176">
            <v>8000</v>
          </cell>
          <cell r="DA176">
            <v>2000</v>
          </cell>
          <cell r="DB176">
            <v>0</v>
          </cell>
          <cell r="DC176">
            <v>3018.28</v>
          </cell>
          <cell r="DD176">
            <v>25</v>
          </cell>
          <cell r="DE176">
            <v>0</v>
          </cell>
          <cell r="DF176">
            <v>20</v>
          </cell>
          <cell r="DG176">
            <v>0</v>
          </cell>
          <cell r="DH176">
            <v>21563.279999999999</v>
          </cell>
        </row>
        <row r="177">
          <cell r="A177" t="str">
            <v>6028999</v>
          </cell>
          <cell r="B177" t="str">
            <v>6028999</v>
          </cell>
          <cell r="C177" t="str">
            <v>Benefits Fringe Reclass</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-2901.76</v>
          </cell>
          <cell r="DB177">
            <v>-7102.71</v>
          </cell>
          <cell r="DC177">
            <v>-2075.2600000000002</v>
          </cell>
          <cell r="DD177">
            <v>-3472.65</v>
          </cell>
          <cell r="DE177">
            <v>-3735.8</v>
          </cell>
          <cell r="DF177">
            <v>0</v>
          </cell>
          <cell r="DG177">
            <v>2209.0700000000002</v>
          </cell>
          <cell r="DH177">
            <v>-17079.11</v>
          </cell>
        </row>
        <row r="178">
          <cell r="A178" t="str">
            <v>6029000</v>
          </cell>
          <cell r="B178" t="str">
            <v>6029000</v>
          </cell>
          <cell r="C178" t="str">
            <v>Benefits to BalSheet</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-478.65</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-1691.23</v>
          </cell>
          <cell r="BJ178">
            <v>-1843.24</v>
          </cell>
          <cell r="BK178">
            <v>-6514.42</v>
          </cell>
          <cell r="BL178">
            <v>-2101.87</v>
          </cell>
          <cell r="BM178">
            <v>-1966.26</v>
          </cell>
          <cell r="BN178">
            <v>-2364.1799999999998</v>
          </cell>
          <cell r="BO178">
            <v>0</v>
          </cell>
          <cell r="BP178">
            <v>-4024.31</v>
          </cell>
          <cell r="BQ178">
            <v>-2279.41</v>
          </cell>
          <cell r="BR178">
            <v>-12908.89</v>
          </cell>
          <cell r="BS178">
            <v>-2553.58</v>
          </cell>
          <cell r="BT178">
            <v>-3285.05</v>
          </cell>
          <cell r="BU178">
            <v>-1920.73</v>
          </cell>
          <cell r="BV178">
            <v>-3510.62</v>
          </cell>
          <cell r="BW178">
            <v>-2609.8000000000002</v>
          </cell>
          <cell r="BX178">
            <v>-2379.67</v>
          </cell>
          <cell r="BY178">
            <v>-6585.09</v>
          </cell>
          <cell r="BZ178">
            <v>800.27</v>
          </cell>
          <cell r="CA178">
            <v>-3168.34</v>
          </cell>
          <cell r="CB178">
            <v>-2905.1</v>
          </cell>
          <cell r="CC178">
            <v>-3180.47</v>
          </cell>
          <cell r="CD178">
            <v>-3683.66</v>
          </cell>
          <cell r="CE178">
            <v>-3068.29</v>
          </cell>
          <cell r="CF178">
            <v>-14435.02</v>
          </cell>
          <cell r="CG178">
            <v>-3170.32</v>
          </cell>
          <cell r="CH178">
            <v>-3276.05</v>
          </cell>
          <cell r="CI178">
            <v>-3345.12</v>
          </cell>
          <cell r="CJ178">
            <v>-2722.26</v>
          </cell>
          <cell r="CK178">
            <v>-2947.03</v>
          </cell>
          <cell r="CL178">
            <v>-18034.05</v>
          </cell>
          <cell r="CM178">
            <v>785.44</v>
          </cell>
          <cell r="CN178">
            <v>-21411.39</v>
          </cell>
          <cell r="CO178">
            <v>-2878.38</v>
          </cell>
          <cell r="CP178">
            <v>-2745.95</v>
          </cell>
          <cell r="CQ178">
            <v>-2485.98</v>
          </cell>
          <cell r="CR178">
            <v>-5172.8</v>
          </cell>
          <cell r="CS178">
            <v>-2787.41</v>
          </cell>
          <cell r="CT178">
            <v>-3191.12</v>
          </cell>
          <cell r="CU178">
            <v>-4694.41</v>
          </cell>
          <cell r="CV178">
            <v>-171827.57</v>
          </cell>
          <cell r="CW178">
            <v>-197813.46</v>
          </cell>
          <cell r="CX178">
            <v>-204482.13</v>
          </cell>
          <cell r="CY178">
            <v>-181758.99</v>
          </cell>
          <cell r="CZ178">
            <v>-213278.2</v>
          </cell>
          <cell r="DA178">
            <v>-218930.5</v>
          </cell>
          <cell r="DB178">
            <v>-240794.52</v>
          </cell>
          <cell r="DC178">
            <v>-248832.67</v>
          </cell>
          <cell r="DD178">
            <v>-230001.1</v>
          </cell>
          <cell r="DE178">
            <v>-216375.54</v>
          </cell>
          <cell r="DF178">
            <v>-361341.6</v>
          </cell>
          <cell r="DG178">
            <v>-203205</v>
          </cell>
          <cell r="DH178">
            <v>-2688641.2800000003</v>
          </cell>
        </row>
        <row r="179">
          <cell r="A179" t="str">
            <v>6030010</v>
          </cell>
          <cell r="B179" t="str">
            <v>6030010</v>
          </cell>
          <cell r="C179" t="str">
            <v>EE ProfDue Subs Fees</v>
          </cell>
          <cell r="D179">
            <v>1926.09</v>
          </cell>
          <cell r="E179">
            <v>962.86</v>
          </cell>
          <cell r="F179">
            <v>24147.23</v>
          </cell>
          <cell r="G179">
            <v>3408.38</v>
          </cell>
          <cell r="H179">
            <v>2368.9299999999998</v>
          </cell>
          <cell r="I179">
            <v>1116.95</v>
          </cell>
          <cell r="J179">
            <v>3323.7</v>
          </cell>
          <cell r="K179">
            <v>1944.79</v>
          </cell>
          <cell r="L179">
            <v>3770.41</v>
          </cell>
          <cell r="M179">
            <v>1954</v>
          </cell>
          <cell r="N179">
            <v>2787.45</v>
          </cell>
          <cell r="O179">
            <v>1041.71</v>
          </cell>
          <cell r="P179">
            <v>688.45</v>
          </cell>
          <cell r="Q179">
            <v>338</v>
          </cell>
          <cell r="R179">
            <v>30090.74</v>
          </cell>
          <cell r="S179">
            <v>286.39999999999998</v>
          </cell>
          <cell r="T179">
            <v>3360.99</v>
          </cell>
          <cell r="U179">
            <v>3550.86</v>
          </cell>
          <cell r="V179">
            <v>3127.65</v>
          </cell>
          <cell r="W179">
            <v>4416.01</v>
          </cell>
          <cell r="X179">
            <v>3044.63</v>
          </cell>
          <cell r="Y179">
            <v>1162.1300000000001</v>
          </cell>
          <cell r="Z179">
            <v>1891.44</v>
          </cell>
          <cell r="AA179">
            <v>4967.59</v>
          </cell>
          <cell r="AB179">
            <v>4774.2</v>
          </cell>
          <cell r="AC179">
            <v>1852.19</v>
          </cell>
          <cell r="AD179">
            <v>27965.7</v>
          </cell>
          <cell r="AE179">
            <v>13279.19</v>
          </cell>
          <cell r="AF179">
            <v>6528</v>
          </cell>
          <cell r="AG179">
            <v>425.2</v>
          </cell>
          <cell r="AH179">
            <v>2426.5</v>
          </cell>
          <cell r="AI179">
            <v>3209.19</v>
          </cell>
          <cell r="AJ179">
            <v>1405.19</v>
          </cell>
          <cell r="AK179">
            <v>2613.16</v>
          </cell>
          <cell r="AL179">
            <v>2481.0500000000002</v>
          </cell>
          <cell r="AM179">
            <v>7272.9</v>
          </cell>
          <cell r="AN179">
            <v>1364.65</v>
          </cell>
          <cell r="AO179">
            <v>387.12</v>
          </cell>
          <cell r="AP179">
            <v>13887.8</v>
          </cell>
          <cell r="AQ179">
            <v>1882.36</v>
          </cell>
          <cell r="AR179">
            <v>1939.16</v>
          </cell>
          <cell r="AS179">
            <v>2494.2800000000002</v>
          </cell>
          <cell r="AT179">
            <v>2332.2800000000002</v>
          </cell>
          <cell r="AU179">
            <v>2528.5</v>
          </cell>
          <cell r="AV179">
            <v>444</v>
          </cell>
          <cell r="AW179">
            <v>438.47</v>
          </cell>
          <cell r="AX179">
            <v>1035.53</v>
          </cell>
          <cell r="AY179">
            <v>17407.36</v>
          </cell>
          <cell r="AZ179">
            <v>585.39</v>
          </cell>
          <cell r="BA179">
            <v>793.28</v>
          </cell>
          <cell r="BB179">
            <v>7554.83</v>
          </cell>
          <cell r="BC179">
            <v>1852.16</v>
          </cell>
          <cell r="BD179">
            <v>1468.4</v>
          </cell>
          <cell r="BE179">
            <v>3536.48</v>
          </cell>
          <cell r="BF179">
            <v>-5893.04</v>
          </cell>
          <cell r="BG179">
            <v>5526.33</v>
          </cell>
          <cell r="BH179">
            <v>17679.63</v>
          </cell>
          <cell r="BI179">
            <v>3672.79</v>
          </cell>
          <cell r="BJ179">
            <v>4379.8900000000003</v>
          </cell>
          <cell r="BK179">
            <v>10703.83</v>
          </cell>
          <cell r="BL179">
            <v>0</v>
          </cell>
          <cell r="BM179">
            <v>11662.78</v>
          </cell>
          <cell r="BN179">
            <v>2701.51</v>
          </cell>
          <cell r="BO179">
            <v>1814.67</v>
          </cell>
          <cell r="BP179">
            <v>4859.26</v>
          </cell>
          <cell r="BQ179">
            <v>5496.99</v>
          </cell>
          <cell r="BR179">
            <v>12883.68</v>
          </cell>
          <cell r="BS179">
            <v>3438.26</v>
          </cell>
          <cell r="BT179">
            <v>6657.91</v>
          </cell>
          <cell r="BU179">
            <v>3448.44</v>
          </cell>
          <cell r="BV179">
            <v>9113.17</v>
          </cell>
          <cell r="BW179">
            <v>10986.29</v>
          </cell>
          <cell r="BX179">
            <v>2119.69</v>
          </cell>
          <cell r="BY179">
            <v>11526.82</v>
          </cell>
          <cell r="BZ179">
            <v>3488.73</v>
          </cell>
          <cell r="CA179">
            <v>10273.44</v>
          </cell>
          <cell r="CB179">
            <v>2821.99</v>
          </cell>
          <cell r="CC179">
            <v>4436.99</v>
          </cell>
          <cell r="CD179">
            <v>16678</v>
          </cell>
          <cell r="CE179">
            <v>1647.35</v>
          </cell>
          <cell r="CF179">
            <v>4527.8</v>
          </cell>
          <cell r="CG179">
            <v>16526.18</v>
          </cell>
          <cell r="CH179">
            <v>2442.08</v>
          </cell>
          <cell r="CI179">
            <v>14309.64</v>
          </cell>
          <cell r="CJ179">
            <v>3162.46</v>
          </cell>
          <cell r="CK179">
            <v>1669.64</v>
          </cell>
          <cell r="CL179">
            <v>10200.549999999999</v>
          </cell>
          <cell r="CM179">
            <v>2782.75</v>
          </cell>
          <cell r="CN179">
            <v>1853.79</v>
          </cell>
          <cell r="CO179">
            <v>4115.8599999999997</v>
          </cell>
          <cell r="CP179">
            <v>1771.36</v>
          </cell>
          <cell r="CQ179">
            <v>18623.88</v>
          </cell>
          <cell r="CR179">
            <v>5203.57</v>
          </cell>
          <cell r="CS179">
            <v>17651.330000000002</v>
          </cell>
          <cell r="CT179">
            <v>786.46</v>
          </cell>
          <cell r="CU179">
            <v>11756.17</v>
          </cell>
          <cell r="CV179">
            <v>1442.08</v>
          </cell>
          <cell r="CW179">
            <v>8592.34</v>
          </cell>
          <cell r="CX179">
            <v>22197.77</v>
          </cell>
          <cell r="CY179">
            <v>10147</v>
          </cell>
          <cell r="CZ179">
            <v>6628.42</v>
          </cell>
          <cell r="DA179">
            <v>4152.24</v>
          </cell>
          <cell r="DB179">
            <v>7602.16</v>
          </cell>
          <cell r="DC179">
            <v>32900.9</v>
          </cell>
          <cell r="DD179">
            <v>6200</v>
          </cell>
          <cell r="DE179">
            <v>4367.62</v>
          </cell>
          <cell r="DF179">
            <v>32084.38</v>
          </cell>
          <cell r="DG179">
            <v>8290.18</v>
          </cell>
          <cell r="DH179">
            <v>144605.09</v>
          </cell>
        </row>
        <row r="180">
          <cell r="A180" t="str">
            <v>6030020</v>
          </cell>
          <cell r="B180" t="str">
            <v>6030020</v>
          </cell>
          <cell r="C180" t="str">
            <v>EE SocialCivic Dues</v>
          </cell>
          <cell r="D180">
            <v>1170</v>
          </cell>
          <cell r="E180">
            <v>2450</v>
          </cell>
          <cell r="F180">
            <v>8825.84</v>
          </cell>
          <cell r="G180">
            <v>480</v>
          </cell>
          <cell r="H180">
            <v>0</v>
          </cell>
          <cell r="I180">
            <v>0</v>
          </cell>
          <cell r="J180">
            <v>755.77</v>
          </cell>
          <cell r="K180">
            <v>642.59</v>
          </cell>
          <cell r="L180">
            <v>580</v>
          </cell>
          <cell r="M180">
            <v>294.2</v>
          </cell>
          <cell r="N180">
            <v>193</v>
          </cell>
          <cell r="O180">
            <v>123.03</v>
          </cell>
          <cell r="P180">
            <v>560</v>
          </cell>
          <cell r="Q180">
            <v>5936.52</v>
          </cell>
          <cell r="R180">
            <v>0</v>
          </cell>
          <cell r="S180">
            <v>1494.2</v>
          </cell>
          <cell r="T180">
            <v>1471.75</v>
          </cell>
          <cell r="U180">
            <v>1365.16</v>
          </cell>
          <cell r="V180">
            <v>190</v>
          </cell>
          <cell r="W180">
            <v>0</v>
          </cell>
          <cell r="X180">
            <v>100</v>
          </cell>
          <cell r="Y180">
            <v>232.47</v>
          </cell>
          <cell r="Z180">
            <v>1625</v>
          </cell>
          <cell r="AA180">
            <v>3883.2</v>
          </cell>
          <cell r="AB180">
            <v>1250</v>
          </cell>
          <cell r="AC180">
            <v>3715</v>
          </cell>
          <cell r="AD180">
            <v>6636.5</v>
          </cell>
          <cell r="AE180">
            <v>0</v>
          </cell>
          <cell r="AF180">
            <v>1500</v>
          </cell>
          <cell r="AG180">
            <v>1050</v>
          </cell>
          <cell r="AH180">
            <v>774.2</v>
          </cell>
          <cell r="AI180">
            <v>431.07</v>
          </cell>
          <cell r="AJ180">
            <v>1335</v>
          </cell>
          <cell r="AK180">
            <v>-750</v>
          </cell>
          <cell r="AL180">
            <v>1385</v>
          </cell>
          <cell r="AM180">
            <v>2500</v>
          </cell>
          <cell r="AN180">
            <v>0</v>
          </cell>
          <cell r="AO180">
            <v>194.2</v>
          </cell>
          <cell r="AP180">
            <v>636.51</v>
          </cell>
          <cell r="AQ180">
            <v>300</v>
          </cell>
          <cell r="AR180">
            <v>0</v>
          </cell>
          <cell r="AS180">
            <v>710</v>
          </cell>
          <cell r="AT180">
            <v>1050</v>
          </cell>
          <cell r="AU180">
            <v>0</v>
          </cell>
          <cell r="AV180">
            <v>85</v>
          </cell>
          <cell r="AW180">
            <v>0</v>
          </cell>
          <cell r="AX180">
            <v>0</v>
          </cell>
          <cell r="AY180">
            <v>145</v>
          </cell>
          <cell r="AZ180">
            <v>1210</v>
          </cell>
          <cell r="BA180">
            <v>1500</v>
          </cell>
          <cell r="BB180">
            <v>0</v>
          </cell>
          <cell r="BC180">
            <v>0</v>
          </cell>
          <cell r="BD180">
            <v>330</v>
          </cell>
          <cell r="BE180">
            <v>0</v>
          </cell>
          <cell r="BF180">
            <v>1448.53</v>
          </cell>
          <cell r="BG180">
            <v>115</v>
          </cell>
          <cell r="BH180">
            <v>0</v>
          </cell>
          <cell r="BI180">
            <v>4925</v>
          </cell>
          <cell r="BJ180">
            <v>1000</v>
          </cell>
          <cell r="BK180">
            <v>2840</v>
          </cell>
          <cell r="BL180">
            <v>4250</v>
          </cell>
          <cell r="BM180">
            <v>220</v>
          </cell>
          <cell r="BN180">
            <v>710</v>
          </cell>
          <cell r="BO180">
            <v>-380</v>
          </cell>
          <cell r="BP180">
            <v>600</v>
          </cell>
          <cell r="BQ180">
            <v>675</v>
          </cell>
          <cell r="BR180">
            <v>2242.5</v>
          </cell>
          <cell r="BS180">
            <v>-530</v>
          </cell>
          <cell r="BT180">
            <v>4417.45</v>
          </cell>
          <cell r="BU180">
            <v>0</v>
          </cell>
          <cell r="BV180">
            <v>1042.79</v>
          </cell>
          <cell r="BW180">
            <v>380</v>
          </cell>
          <cell r="BX180">
            <v>500</v>
          </cell>
          <cell r="BY180">
            <v>0</v>
          </cell>
          <cell r="BZ180">
            <v>388</v>
          </cell>
          <cell r="CA180">
            <v>0</v>
          </cell>
          <cell r="CB180">
            <v>550</v>
          </cell>
          <cell r="CC180">
            <v>0</v>
          </cell>
          <cell r="CD180">
            <v>855</v>
          </cell>
          <cell r="CE180">
            <v>125</v>
          </cell>
          <cell r="CF180">
            <v>0</v>
          </cell>
          <cell r="CG180">
            <v>280</v>
          </cell>
          <cell r="CH180">
            <v>0</v>
          </cell>
          <cell r="CI180">
            <v>35</v>
          </cell>
          <cell r="CJ180">
            <v>3306.96</v>
          </cell>
          <cell r="CK180">
            <v>1881.57</v>
          </cell>
          <cell r="CL180">
            <v>0</v>
          </cell>
          <cell r="CM180">
            <v>0</v>
          </cell>
          <cell r="CN180">
            <v>1608.26</v>
          </cell>
          <cell r="CO180">
            <v>611</v>
          </cell>
          <cell r="CP180">
            <v>7350</v>
          </cell>
          <cell r="CQ180">
            <v>0</v>
          </cell>
          <cell r="CR180">
            <v>340.75</v>
          </cell>
          <cell r="CS180">
            <v>128.19999999999999</v>
          </cell>
          <cell r="CT180">
            <v>3250</v>
          </cell>
          <cell r="CU180">
            <v>50</v>
          </cell>
          <cell r="CV180">
            <v>120</v>
          </cell>
          <cell r="CW180">
            <v>1500</v>
          </cell>
          <cell r="CX180">
            <v>555</v>
          </cell>
          <cell r="CY180">
            <v>23100</v>
          </cell>
          <cell r="CZ180">
            <v>0</v>
          </cell>
          <cell r="DA180">
            <v>40</v>
          </cell>
          <cell r="DB180">
            <v>0</v>
          </cell>
          <cell r="DC180">
            <v>4490.2</v>
          </cell>
          <cell r="DD180">
            <v>111.5</v>
          </cell>
          <cell r="DE180">
            <v>1528.75</v>
          </cell>
          <cell r="DF180">
            <v>3868.75</v>
          </cell>
          <cell r="DG180">
            <v>0</v>
          </cell>
          <cell r="DH180">
            <v>35314.199999999997</v>
          </cell>
        </row>
        <row r="181">
          <cell r="A181" t="str">
            <v>6030030</v>
          </cell>
          <cell r="B181" t="str">
            <v>6030030</v>
          </cell>
          <cell r="C181" t="str">
            <v>EE Meals 100% Deduct</v>
          </cell>
          <cell r="D181">
            <v>2046.51</v>
          </cell>
          <cell r="E181">
            <v>8149.12</v>
          </cell>
          <cell r="F181">
            <v>12341.05</v>
          </cell>
          <cell r="G181">
            <v>11907.5</v>
          </cell>
          <cell r="H181">
            <v>11196.52</v>
          </cell>
          <cell r="I181">
            <v>9242.77</v>
          </cell>
          <cell r="J181">
            <v>8097.43</v>
          </cell>
          <cell r="K181">
            <v>9325.23</v>
          </cell>
          <cell r="L181">
            <v>15476.06</v>
          </cell>
          <cell r="M181">
            <v>13733.24</v>
          </cell>
          <cell r="N181">
            <v>19245</v>
          </cell>
          <cell r="O181">
            <v>20699.759999999998</v>
          </cell>
          <cell r="P181">
            <v>1669.01</v>
          </cell>
          <cell r="Q181">
            <v>9410.01</v>
          </cell>
          <cell r="R181">
            <v>14448.7</v>
          </cell>
          <cell r="S181">
            <v>8238.01</v>
          </cell>
          <cell r="T181">
            <v>15034.12</v>
          </cell>
          <cell r="U181">
            <v>13959.84</v>
          </cell>
          <cell r="V181">
            <v>11199.41</v>
          </cell>
          <cell r="W181">
            <v>9485.0400000000009</v>
          </cell>
          <cell r="X181">
            <v>16072.19</v>
          </cell>
          <cell r="Y181">
            <v>10220.93</v>
          </cell>
          <cell r="Z181">
            <v>8861.0400000000009</v>
          </cell>
          <cell r="AA181">
            <v>14129.48</v>
          </cell>
          <cell r="AB181">
            <v>1171.44</v>
          </cell>
          <cell r="AC181">
            <v>4138.07</v>
          </cell>
          <cell r="AD181">
            <v>6882.96</v>
          </cell>
          <cell r="AE181">
            <v>5950.46</v>
          </cell>
          <cell r="AF181">
            <v>5276.57</v>
          </cell>
          <cell r="AG181">
            <v>9303.24</v>
          </cell>
          <cell r="AH181">
            <v>4883.7</v>
          </cell>
          <cell r="AI181">
            <v>8263.4699999999993</v>
          </cell>
          <cell r="AJ181">
            <v>8460.4</v>
          </cell>
          <cell r="AK181">
            <v>5365.04</v>
          </cell>
          <cell r="AL181">
            <v>7274.69</v>
          </cell>
          <cell r="AM181">
            <v>18788.28</v>
          </cell>
          <cell r="AN181">
            <v>1172.8399999999999</v>
          </cell>
          <cell r="AO181">
            <v>6877.57</v>
          </cell>
          <cell r="AP181">
            <v>7913.36</v>
          </cell>
          <cell r="AQ181">
            <v>4763.47</v>
          </cell>
          <cell r="AR181">
            <v>5462.71</v>
          </cell>
          <cell r="AS181">
            <v>6299.18</v>
          </cell>
          <cell r="AT181">
            <v>6080.67</v>
          </cell>
          <cell r="AU181">
            <v>4554.68</v>
          </cell>
          <cell r="AV181">
            <v>63210.47</v>
          </cell>
          <cell r="AW181">
            <v>-49126.6</v>
          </cell>
          <cell r="AX181">
            <v>8520.2999999999993</v>
          </cell>
          <cell r="AY181">
            <v>17179.71</v>
          </cell>
          <cell r="AZ181">
            <v>2023.45</v>
          </cell>
          <cell r="BA181">
            <v>11933.16</v>
          </cell>
          <cell r="BB181">
            <v>16562.939999999999</v>
          </cell>
          <cell r="BC181">
            <v>11547.09</v>
          </cell>
          <cell r="BD181">
            <v>13532.05</v>
          </cell>
          <cell r="BE181">
            <v>11415.16</v>
          </cell>
          <cell r="BF181">
            <v>10399.67</v>
          </cell>
          <cell r="BG181">
            <v>19094.669999999998</v>
          </cell>
          <cell r="BH181">
            <v>14081.76</v>
          </cell>
          <cell r="BI181">
            <v>11070.37</v>
          </cell>
          <cell r="BJ181">
            <v>12500.98</v>
          </cell>
          <cell r="BK181">
            <v>23519.439999999999</v>
          </cell>
          <cell r="BL181">
            <v>-308.73</v>
          </cell>
          <cell r="BM181">
            <v>12438.06</v>
          </cell>
          <cell r="BN181">
            <v>11051.03</v>
          </cell>
          <cell r="BO181">
            <v>10689.41</v>
          </cell>
          <cell r="BP181">
            <v>5438.92</v>
          </cell>
          <cell r="BQ181">
            <v>13732.54</v>
          </cell>
          <cell r="BR181">
            <v>10499.06</v>
          </cell>
          <cell r="BS181">
            <v>650.19000000000005</v>
          </cell>
          <cell r="BT181">
            <v>498.68</v>
          </cell>
          <cell r="BU181">
            <v>0</v>
          </cell>
          <cell r="BV181">
            <v>0</v>
          </cell>
          <cell r="BW181">
            <v>0</v>
          </cell>
          <cell r="BX181">
            <v>0</v>
          </cell>
          <cell r="BY181">
            <v>0</v>
          </cell>
          <cell r="BZ181">
            <v>129.6</v>
          </cell>
          <cell r="CA181">
            <v>0</v>
          </cell>
          <cell r="CB181">
            <v>20.68</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row>
        <row r="182">
          <cell r="A182" t="str">
            <v>6030040</v>
          </cell>
          <cell r="B182" t="str">
            <v>6030040</v>
          </cell>
          <cell r="C182" t="str">
            <v>EE Meals 50% Deduct</v>
          </cell>
          <cell r="D182">
            <v>3889.06</v>
          </cell>
          <cell r="E182">
            <v>16087</v>
          </cell>
          <cell r="F182">
            <v>16096.17</v>
          </cell>
          <cell r="G182">
            <v>13329.25</v>
          </cell>
          <cell r="H182">
            <v>19948.830000000002</v>
          </cell>
          <cell r="I182">
            <v>15888.79</v>
          </cell>
          <cell r="J182">
            <v>15407.37</v>
          </cell>
          <cell r="K182">
            <v>15267.31</v>
          </cell>
          <cell r="L182">
            <v>16429.759999999998</v>
          </cell>
          <cell r="M182">
            <v>18655.13</v>
          </cell>
          <cell r="N182">
            <v>13281.19</v>
          </cell>
          <cell r="O182">
            <v>31027.7</v>
          </cell>
          <cell r="P182">
            <v>1229.83</v>
          </cell>
          <cell r="Q182">
            <v>10097.08</v>
          </cell>
          <cell r="R182">
            <v>18268.490000000002</v>
          </cell>
          <cell r="S182">
            <v>17093.63</v>
          </cell>
          <cell r="T182">
            <v>13146.8</v>
          </cell>
          <cell r="U182">
            <v>14308.77</v>
          </cell>
          <cell r="V182">
            <v>19941.169999999998</v>
          </cell>
          <cell r="W182">
            <v>12014.83</v>
          </cell>
          <cell r="X182">
            <v>16236.54</v>
          </cell>
          <cell r="Y182">
            <v>21925.73</v>
          </cell>
          <cell r="Z182">
            <v>27332.880000000001</v>
          </cell>
          <cell r="AA182">
            <v>41256.370000000003</v>
          </cell>
          <cell r="AB182">
            <v>2558.89</v>
          </cell>
          <cell r="AC182">
            <v>17180.64</v>
          </cell>
          <cell r="AD182">
            <v>21896.28</v>
          </cell>
          <cell r="AE182">
            <v>20671.87</v>
          </cell>
          <cell r="AF182">
            <v>21136.75</v>
          </cell>
          <cell r="AG182">
            <v>29396.62</v>
          </cell>
          <cell r="AH182">
            <v>19412.88</v>
          </cell>
          <cell r="AI182">
            <v>22283.15</v>
          </cell>
          <cell r="AJ182">
            <v>20305.93</v>
          </cell>
          <cell r="AK182">
            <v>21567</v>
          </cell>
          <cell r="AL182">
            <v>26236.76</v>
          </cell>
          <cell r="AM182">
            <v>52105.59</v>
          </cell>
          <cell r="AN182">
            <v>7746.54</v>
          </cell>
          <cell r="AO182">
            <v>34425.15</v>
          </cell>
          <cell r="AP182">
            <v>20758.150000000001</v>
          </cell>
          <cell r="AQ182">
            <v>20403.78</v>
          </cell>
          <cell r="AR182">
            <v>17645.689999999999</v>
          </cell>
          <cell r="AS182">
            <v>15433.06</v>
          </cell>
          <cell r="AT182">
            <v>19298.990000000002</v>
          </cell>
          <cell r="AU182">
            <v>17946.8</v>
          </cell>
          <cell r="AV182">
            <v>19615.22</v>
          </cell>
          <cell r="AW182">
            <v>18483.330000000002</v>
          </cell>
          <cell r="AX182">
            <v>76308.649999999994</v>
          </cell>
          <cell r="AY182">
            <v>50375.49</v>
          </cell>
          <cell r="AZ182">
            <v>3784.5</v>
          </cell>
          <cell r="BA182">
            <v>25612.1</v>
          </cell>
          <cell r="BB182">
            <v>26442.9</v>
          </cell>
          <cell r="BC182">
            <v>16927.189999999999</v>
          </cell>
          <cell r="BD182">
            <v>29162.21</v>
          </cell>
          <cell r="BE182">
            <v>34313.910000000003</v>
          </cell>
          <cell r="BF182">
            <v>24041.51</v>
          </cell>
          <cell r="BG182">
            <v>23060.74</v>
          </cell>
          <cell r="BH182">
            <v>28951.3</v>
          </cell>
          <cell r="BI182">
            <v>22409</v>
          </cell>
          <cell r="BJ182">
            <v>327407.98</v>
          </cell>
          <cell r="BK182">
            <v>65812.98</v>
          </cell>
          <cell r="BL182">
            <v>3940.79</v>
          </cell>
          <cell r="BM182">
            <v>36646.120000000003</v>
          </cell>
          <cell r="BN182">
            <v>35390.6</v>
          </cell>
          <cell r="BO182">
            <v>19716.7</v>
          </cell>
          <cell r="BP182">
            <v>24279.54</v>
          </cell>
          <cell r="BQ182">
            <v>24296.9</v>
          </cell>
          <cell r="BR182">
            <v>44824.54</v>
          </cell>
          <cell r="BS182">
            <v>59704.83</v>
          </cell>
          <cell r="BT182">
            <v>55220.99</v>
          </cell>
          <cell r="BU182">
            <v>43152.51</v>
          </cell>
          <cell r="BV182">
            <v>42842.76</v>
          </cell>
          <cell r="BW182">
            <v>92643.51</v>
          </cell>
          <cell r="BX182">
            <v>6989.83</v>
          </cell>
          <cell r="BY182">
            <v>37305.97</v>
          </cell>
          <cell r="BZ182">
            <v>61792.84</v>
          </cell>
          <cell r="CA182">
            <v>29590.99</v>
          </cell>
          <cell r="CB182">
            <v>4170.38</v>
          </cell>
          <cell r="CC182">
            <v>9139.2900000000009</v>
          </cell>
          <cell r="CD182">
            <v>20844.599999999999</v>
          </cell>
          <cell r="CE182">
            <v>17888.12</v>
          </cell>
          <cell r="CF182">
            <v>14502.18</v>
          </cell>
          <cell r="CG182">
            <v>11637.18</v>
          </cell>
          <cell r="CH182">
            <v>10635.94</v>
          </cell>
          <cell r="CI182">
            <v>18890.23</v>
          </cell>
          <cell r="CJ182">
            <v>4926.18</v>
          </cell>
          <cell r="CK182">
            <v>13914.78</v>
          </cell>
          <cell r="CL182">
            <v>26485.18</v>
          </cell>
          <cell r="CM182">
            <v>32355.39</v>
          </cell>
          <cell r="CN182">
            <v>28121.79</v>
          </cell>
          <cell r="CO182">
            <v>24418.34</v>
          </cell>
          <cell r="CP182">
            <v>24481.42</v>
          </cell>
          <cell r="CQ182">
            <v>32322.33</v>
          </cell>
          <cell r="CR182">
            <v>24039.279999999999</v>
          </cell>
          <cell r="CS182">
            <v>18649.62</v>
          </cell>
          <cell r="CT182">
            <v>39453.15</v>
          </cell>
          <cell r="CU182">
            <v>59784.05</v>
          </cell>
          <cell r="CV182">
            <v>12825.15</v>
          </cell>
          <cell r="CW182">
            <v>21653.83</v>
          </cell>
          <cell r="CX182">
            <v>31082.22</v>
          </cell>
          <cell r="CY182">
            <v>60685.64</v>
          </cell>
          <cell r="CZ182">
            <v>40969.480000000003</v>
          </cell>
          <cell r="DA182">
            <v>49276.71</v>
          </cell>
          <cell r="DB182">
            <v>49245.22</v>
          </cell>
          <cell r="DC182">
            <v>84222.11</v>
          </cell>
          <cell r="DD182">
            <v>64042.84</v>
          </cell>
          <cell r="DE182">
            <v>74513.06</v>
          </cell>
          <cell r="DF182">
            <v>75831.77</v>
          </cell>
          <cell r="DG182">
            <v>96049.76</v>
          </cell>
          <cell r="DH182">
            <v>660397.78999999992</v>
          </cell>
        </row>
        <row r="183">
          <cell r="A183" t="str">
            <v>6030050</v>
          </cell>
          <cell r="B183" t="str">
            <v>6030050</v>
          </cell>
          <cell r="C183" t="str">
            <v>EE Mileage</v>
          </cell>
          <cell r="D183">
            <v>8498.9699999999993</v>
          </cell>
          <cell r="E183">
            <v>12548.98</v>
          </cell>
          <cell r="F183">
            <v>15270.44</v>
          </cell>
          <cell r="G183">
            <v>8262.86</v>
          </cell>
          <cell r="H183">
            <v>12982.29</v>
          </cell>
          <cell r="I183">
            <v>12726.95</v>
          </cell>
          <cell r="J183">
            <v>15776.48</v>
          </cell>
          <cell r="K183">
            <v>12077.07</v>
          </cell>
          <cell r="L183">
            <v>13034.88</v>
          </cell>
          <cell r="M183">
            <v>20143.810000000001</v>
          </cell>
          <cell r="N183">
            <v>12980.66</v>
          </cell>
          <cell r="O183">
            <v>15566.51</v>
          </cell>
          <cell r="P183">
            <v>7172.21</v>
          </cell>
          <cell r="Q183">
            <v>11232.77</v>
          </cell>
          <cell r="R183">
            <v>13587.19</v>
          </cell>
          <cell r="S183">
            <v>11270.86</v>
          </cell>
          <cell r="T183">
            <v>11511.87</v>
          </cell>
          <cell r="U183">
            <v>14463.72</v>
          </cell>
          <cell r="V183">
            <v>14400.94</v>
          </cell>
          <cell r="W183">
            <v>11666.02</v>
          </cell>
          <cell r="X183">
            <v>8886.6299999999992</v>
          </cell>
          <cell r="Y183">
            <v>15834</v>
          </cell>
          <cell r="Z183">
            <v>12132.18</v>
          </cell>
          <cell r="AA183">
            <v>13833.31</v>
          </cell>
          <cell r="AB183">
            <v>6360.64</v>
          </cell>
          <cell r="AC183">
            <v>7763.56</v>
          </cell>
          <cell r="AD183">
            <v>8209.48</v>
          </cell>
          <cell r="AE183">
            <v>9945.8700000000008</v>
          </cell>
          <cell r="AF183">
            <v>11944.35</v>
          </cell>
          <cell r="AG183">
            <v>15862.88</v>
          </cell>
          <cell r="AH183">
            <v>4992.71</v>
          </cell>
          <cell r="AI183">
            <v>11832.24</v>
          </cell>
          <cell r="AJ183">
            <v>8924.2099999999991</v>
          </cell>
          <cell r="AK183">
            <v>8250.39</v>
          </cell>
          <cell r="AL183">
            <v>12918.36</v>
          </cell>
          <cell r="AM183">
            <v>11723.46</v>
          </cell>
          <cell r="AN183">
            <v>7013.8</v>
          </cell>
          <cell r="AO183">
            <v>8808.77</v>
          </cell>
          <cell r="AP183">
            <v>8309.5</v>
          </cell>
          <cell r="AQ183">
            <v>8176.76</v>
          </cell>
          <cell r="AR183">
            <v>8413.36</v>
          </cell>
          <cell r="AS183">
            <v>8373.7199999999993</v>
          </cell>
          <cell r="AT183">
            <v>10514.52</v>
          </cell>
          <cell r="AU183">
            <v>10226.26</v>
          </cell>
          <cell r="AV183">
            <v>8714.56</v>
          </cell>
          <cell r="AW183">
            <v>6507.5</v>
          </cell>
          <cell r="AX183">
            <v>7260.94</v>
          </cell>
          <cell r="AY183">
            <v>11500.36</v>
          </cell>
          <cell r="AZ183">
            <v>6016.55</v>
          </cell>
          <cell r="BA183">
            <v>6817.53</v>
          </cell>
          <cell r="BB183">
            <v>6216.57</v>
          </cell>
          <cell r="BC183">
            <v>11235.68</v>
          </cell>
          <cell r="BD183">
            <v>14136.23</v>
          </cell>
          <cell r="BE183">
            <v>10145.379999999999</v>
          </cell>
          <cell r="BF183">
            <v>14896.36</v>
          </cell>
          <cell r="BG183">
            <v>17434.919999999998</v>
          </cell>
          <cell r="BH183">
            <v>8102.85</v>
          </cell>
          <cell r="BI183">
            <v>15161.28</v>
          </cell>
          <cell r="BJ183">
            <v>15547.73</v>
          </cell>
          <cell r="BK183">
            <v>17683.23</v>
          </cell>
          <cell r="BL183">
            <v>9406.51</v>
          </cell>
          <cell r="BM183">
            <v>11302.51</v>
          </cell>
          <cell r="BN183">
            <v>8421.08</v>
          </cell>
          <cell r="BO183">
            <v>7195.48</v>
          </cell>
          <cell r="BP183">
            <v>12347.23</v>
          </cell>
          <cell r="BQ183">
            <v>13696.74</v>
          </cell>
          <cell r="BR183">
            <v>12425.21</v>
          </cell>
          <cell r="BS183">
            <v>21181.72</v>
          </cell>
          <cell r="BT183">
            <v>15968.86</v>
          </cell>
          <cell r="BU183">
            <v>15858.77</v>
          </cell>
          <cell r="BV183">
            <v>12697.27</v>
          </cell>
          <cell r="BW183">
            <v>16716.89</v>
          </cell>
          <cell r="BX183">
            <v>9929.9</v>
          </cell>
          <cell r="BY183">
            <v>10233.209999999999</v>
          </cell>
          <cell r="BZ183">
            <v>10259.89</v>
          </cell>
          <cell r="CA183">
            <v>2101.83</v>
          </cell>
          <cell r="CB183">
            <v>2903.76</v>
          </cell>
          <cell r="CC183">
            <v>4986.71</v>
          </cell>
          <cell r="CD183">
            <v>8249.85</v>
          </cell>
          <cell r="CE183">
            <v>3711.15</v>
          </cell>
          <cell r="CF183">
            <v>5996.37</v>
          </cell>
          <cell r="CG183">
            <v>2702.57</v>
          </cell>
          <cell r="CH183">
            <v>5471.88</v>
          </cell>
          <cell r="CI183">
            <v>3703.76</v>
          </cell>
          <cell r="CJ183">
            <v>998.22</v>
          </cell>
          <cell r="CK183">
            <v>6228.71</v>
          </cell>
          <cell r="CL183">
            <v>8185.41</v>
          </cell>
          <cell r="CM183">
            <v>8010.57</v>
          </cell>
          <cell r="CN183">
            <v>5727.43</v>
          </cell>
          <cell r="CO183">
            <v>6352.08</v>
          </cell>
          <cell r="CP183">
            <v>4477.76</v>
          </cell>
          <cell r="CQ183">
            <v>7178.11</v>
          </cell>
          <cell r="CR183">
            <v>3472.56</v>
          </cell>
          <cell r="CS183">
            <v>5307.12</v>
          </cell>
          <cell r="CT183">
            <v>5782.56</v>
          </cell>
          <cell r="CU183">
            <v>5649.57</v>
          </cell>
          <cell r="CV183">
            <v>1979.52</v>
          </cell>
          <cell r="CW183">
            <v>4826.2299999999996</v>
          </cell>
          <cell r="CX183">
            <v>5419.59</v>
          </cell>
          <cell r="CY183">
            <v>7425.45</v>
          </cell>
          <cell r="CZ183">
            <v>7985.86</v>
          </cell>
          <cell r="DA183">
            <v>10831.65</v>
          </cell>
          <cell r="DB183">
            <v>10309.09</v>
          </cell>
          <cell r="DC183">
            <v>14007.65</v>
          </cell>
          <cell r="DD183">
            <v>10627.86</v>
          </cell>
          <cell r="DE183">
            <v>13177.84</v>
          </cell>
          <cell r="DF183">
            <v>17797.03</v>
          </cell>
          <cell r="DG183">
            <v>11905.54</v>
          </cell>
          <cell r="DH183">
            <v>116293.31</v>
          </cell>
        </row>
        <row r="184">
          <cell r="A184" t="str">
            <v>6030060</v>
          </cell>
          <cell r="B184" t="str">
            <v>6030060</v>
          </cell>
          <cell r="C184" t="str">
            <v>EE Shoes Uniforms</v>
          </cell>
          <cell r="D184">
            <v>11628.85</v>
          </cell>
          <cell r="E184">
            <v>19304.88</v>
          </cell>
          <cell r="F184">
            <v>25302.53</v>
          </cell>
          <cell r="G184">
            <v>12179.09</v>
          </cell>
          <cell r="H184">
            <v>11509.79</v>
          </cell>
          <cell r="I184">
            <v>12284.93</v>
          </cell>
          <cell r="J184">
            <v>11270.02</v>
          </cell>
          <cell r="K184">
            <v>9674.64</v>
          </cell>
          <cell r="L184">
            <v>8326.39</v>
          </cell>
          <cell r="M184">
            <v>9150.36</v>
          </cell>
          <cell r="N184">
            <v>9313.1299999999992</v>
          </cell>
          <cell r="O184">
            <v>6890.83</v>
          </cell>
          <cell r="P184">
            <v>7818.53</v>
          </cell>
          <cell r="Q184">
            <v>11377.61</v>
          </cell>
          <cell r="R184">
            <v>11586.79</v>
          </cell>
          <cell r="S184">
            <v>10006.89</v>
          </cell>
          <cell r="T184">
            <v>7701.93</v>
          </cell>
          <cell r="U184">
            <v>9861.36</v>
          </cell>
          <cell r="V184">
            <v>6838.56</v>
          </cell>
          <cell r="W184">
            <v>6360.27</v>
          </cell>
          <cell r="X184">
            <v>8962.24</v>
          </cell>
          <cell r="Y184">
            <v>3316.66</v>
          </cell>
          <cell r="Z184">
            <v>11100.87</v>
          </cell>
          <cell r="AA184">
            <v>6573.22</v>
          </cell>
          <cell r="AB184">
            <v>15195.78</v>
          </cell>
          <cell r="AC184">
            <v>15293.79</v>
          </cell>
          <cell r="AD184">
            <v>46178.12</v>
          </cell>
          <cell r="AE184">
            <v>21216.26</v>
          </cell>
          <cell r="AF184">
            <v>23882.52</v>
          </cell>
          <cell r="AG184">
            <v>10351.32</v>
          </cell>
          <cell r="AH184">
            <v>13943.52</v>
          </cell>
          <cell r="AI184">
            <v>28153.4</v>
          </cell>
          <cell r="AJ184">
            <v>7841.64</v>
          </cell>
          <cell r="AK184">
            <v>8318.4</v>
          </cell>
          <cell r="AL184">
            <v>20609.29</v>
          </cell>
          <cell r="AM184">
            <v>29274.03</v>
          </cell>
          <cell r="AN184">
            <v>22943.78</v>
          </cell>
          <cell r="AO184">
            <v>18865.62</v>
          </cell>
          <cell r="AP184">
            <v>21317.89</v>
          </cell>
          <cell r="AQ184">
            <v>8901.09</v>
          </cell>
          <cell r="AR184">
            <v>17652.310000000001</v>
          </cell>
          <cell r="AS184">
            <v>14138.54</v>
          </cell>
          <cell r="AT184">
            <v>8978.76</v>
          </cell>
          <cell r="AU184">
            <v>10692.28</v>
          </cell>
          <cell r="AV184">
            <v>17335.03</v>
          </cell>
          <cell r="AW184">
            <v>3999.42</v>
          </cell>
          <cell r="AX184">
            <v>10813.33</v>
          </cell>
          <cell r="AY184">
            <v>9350.76</v>
          </cell>
          <cell r="AZ184">
            <v>15370.14</v>
          </cell>
          <cell r="BA184">
            <v>25407.85</v>
          </cell>
          <cell r="BB184">
            <v>17785.45</v>
          </cell>
          <cell r="BC184">
            <v>16179.3</v>
          </cell>
          <cell r="BD184">
            <v>21701.42</v>
          </cell>
          <cell r="BE184">
            <v>15302.65</v>
          </cell>
          <cell r="BF184">
            <v>13492.13</v>
          </cell>
          <cell r="BG184">
            <v>17159.330000000002</v>
          </cell>
          <cell r="BH184">
            <v>9382.51</v>
          </cell>
          <cell r="BI184">
            <v>14942.18</v>
          </cell>
          <cell r="BJ184">
            <v>19083.919999999998</v>
          </cell>
          <cell r="BK184">
            <v>12650.97</v>
          </cell>
          <cell r="BL184">
            <v>20440.810000000001</v>
          </cell>
          <cell r="BM184">
            <v>27281.119999999999</v>
          </cell>
          <cell r="BN184">
            <v>30782.400000000001</v>
          </cell>
          <cell r="BO184">
            <v>51756.69</v>
          </cell>
          <cell r="BP184">
            <v>17659.849999999999</v>
          </cell>
          <cell r="BQ184">
            <v>106032.32000000001</v>
          </cell>
          <cell r="BR184">
            <v>27461.47</v>
          </cell>
          <cell r="BS184">
            <v>14481.89</v>
          </cell>
          <cell r="BT184">
            <v>29824.45</v>
          </cell>
          <cell r="BU184">
            <v>50170.63</v>
          </cell>
          <cell r="BV184">
            <v>33163.11</v>
          </cell>
          <cell r="BW184">
            <v>15622.01</v>
          </cell>
          <cell r="BX184">
            <v>16610.580000000002</v>
          </cell>
          <cell r="BY184">
            <v>77450.11</v>
          </cell>
          <cell r="BZ184">
            <v>32035.09</v>
          </cell>
          <cell r="CA184">
            <v>8792.25</v>
          </cell>
          <cell r="CB184">
            <v>25618.86</v>
          </cell>
          <cell r="CC184">
            <v>10053.469999999999</v>
          </cell>
          <cell r="CD184">
            <v>8086.65</v>
          </cell>
          <cell r="CE184">
            <v>17097.439999999999</v>
          </cell>
          <cell r="CF184">
            <v>4531.18</v>
          </cell>
          <cell r="CG184">
            <v>42805.66</v>
          </cell>
          <cell r="CH184">
            <v>73916.45</v>
          </cell>
          <cell r="CI184">
            <v>6370.52</v>
          </cell>
          <cell r="CJ184">
            <v>110493.24</v>
          </cell>
          <cell r="CK184">
            <v>40637.1</v>
          </cell>
          <cell r="CL184">
            <v>40610.32</v>
          </cell>
          <cell r="CM184">
            <v>27280.45</v>
          </cell>
          <cell r="CN184">
            <v>13747.83</v>
          </cell>
          <cell r="CO184">
            <v>42232.77</v>
          </cell>
          <cell r="CP184">
            <v>10001.27</v>
          </cell>
          <cell r="CQ184">
            <v>16955.3</v>
          </cell>
          <cell r="CR184">
            <v>6282.9</v>
          </cell>
          <cell r="CS184">
            <v>10884.02</v>
          </cell>
          <cell r="CT184">
            <v>42893.599999999999</v>
          </cell>
          <cell r="CU184">
            <v>50976.01</v>
          </cell>
          <cell r="CV184">
            <v>12848.42</v>
          </cell>
          <cell r="CW184">
            <v>20825.43</v>
          </cell>
          <cell r="CX184">
            <v>50280.63</v>
          </cell>
          <cell r="CY184">
            <v>32619.07</v>
          </cell>
          <cell r="CZ184">
            <v>21087.119999999999</v>
          </cell>
          <cell r="DA184">
            <v>18654.79</v>
          </cell>
          <cell r="DB184">
            <v>20419.55</v>
          </cell>
          <cell r="DC184">
            <v>41331.68</v>
          </cell>
          <cell r="DD184">
            <v>26246.45</v>
          </cell>
          <cell r="DE184">
            <v>16676.16</v>
          </cell>
          <cell r="DF184">
            <v>35550.370000000003</v>
          </cell>
          <cell r="DG184">
            <v>24163.24</v>
          </cell>
          <cell r="DH184">
            <v>320702.90999999997</v>
          </cell>
        </row>
        <row r="185">
          <cell r="A185" t="str">
            <v>6030070</v>
          </cell>
          <cell r="B185" t="str">
            <v>6030070</v>
          </cell>
          <cell r="C185" t="str">
            <v>EE Training</v>
          </cell>
          <cell r="D185">
            <v>13780</v>
          </cell>
          <cell r="E185">
            <v>13545</v>
          </cell>
          <cell r="F185">
            <v>12046.68</v>
          </cell>
          <cell r="G185">
            <v>2146.96</v>
          </cell>
          <cell r="H185">
            <v>3979.23</v>
          </cell>
          <cell r="I185">
            <v>13452.39</v>
          </cell>
          <cell r="J185">
            <v>5586.52</v>
          </cell>
          <cell r="K185">
            <v>19282.86</v>
          </cell>
          <cell r="L185">
            <v>12491.57</v>
          </cell>
          <cell r="M185">
            <v>3488.95</v>
          </cell>
          <cell r="N185">
            <v>1550</v>
          </cell>
          <cell r="O185">
            <v>6520.66</v>
          </cell>
          <cell r="P185">
            <v>0</v>
          </cell>
          <cell r="Q185">
            <v>1688.01</v>
          </cell>
          <cell r="R185">
            <v>13801.63</v>
          </cell>
          <cell r="S185">
            <v>5006.2700000000004</v>
          </cell>
          <cell r="T185">
            <v>1374.18</v>
          </cell>
          <cell r="U185">
            <v>10895.5</v>
          </cell>
          <cell r="V185">
            <v>1533.2</v>
          </cell>
          <cell r="W185">
            <v>926.34</v>
          </cell>
          <cell r="X185">
            <v>13090.5</v>
          </cell>
          <cell r="Y185">
            <v>1600.9</v>
          </cell>
          <cell r="Z185">
            <v>3174.36</v>
          </cell>
          <cell r="AA185">
            <v>16062.81</v>
          </cell>
          <cell r="AB185">
            <v>320</v>
          </cell>
          <cell r="AC185">
            <v>4030.45</v>
          </cell>
          <cell r="AD185">
            <v>4187.09</v>
          </cell>
          <cell r="AE185">
            <v>3371.3</v>
          </cell>
          <cell r="AF185">
            <v>5764.95</v>
          </cell>
          <cell r="AG185">
            <v>8523.2999999999993</v>
          </cell>
          <cell r="AH185">
            <v>1549.95</v>
          </cell>
          <cell r="AI185">
            <v>2616.65</v>
          </cell>
          <cell r="AJ185">
            <v>6992.8</v>
          </cell>
          <cell r="AK185">
            <v>3055.22</v>
          </cell>
          <cell r="AL185">
            <v>15674.68</v>
          </cell>
          <cell r="AM185">
            <v>13209.97</v>
          </cell>
          <cell r="AN185">
            <v>7288.72</v>
          </cell>
          <cell r="AO185">
            <v>4860.3</v>
          </cell>
          <cell r="AP185">
            <v>4737.78</v>
          </cell>
          <cell r="AQ185">
            <v>8685.18</v>
          </cell>
          <cell r="AR185">
            <v>12244.38</v>
          </cell>
          <cell r="AS185">
            <v>3947.62</v>
          </cell>
          <cell r="AT185">
            <v>5183.4799999999996</v>
          </cell>
          <cell r="AU185">
            <v>3715</v>
          </cell>
          <cell r="AV185">
            <v>4953</v>
          </cell>
          <cell r="AW185">
            <v>-3206.48</v>
          </cell>
          <cell r="AX185">
            <v>1990.4</v>
          </cell>
          <cell r="AY185">
            <v>3624.26</v>
          </cell>
          <cell r="AZ185">
            <v>0</v>
          </cell>
          <cell r="BA185">
            <v>3258.99</v>
          </cell>
          <cell r="BB185">
            <v>2741.03</v>
          </cell>
          <cell r="BC185">
            <v>9754.49</v>
          </cell>
          <cell r="BD185">
            <v>9993.14</v>
          </cell>
          <cell r="BE185">
            <v>2144.96</v>
          </cell>
          <cell r="BF185">
            <v>878.94</v>
          </cell>
          <cell r="BG185">
            <v>2443.1</v>
          </cell>
          <cell r="BH185">
            <v>3130.86</v>
          </cell>
          <cell r="BI185">
            <v>11343.52</v>
          </cell>
          <cell r="BJ185">
            <v>10898.29</v>
          </cell>
          <cell r="BK185">
            <v>11031.25</v>
          </cell>
          <cell r="BL185">
            <v>195</v>
          </cell>
          <cell r="BM185">
            <v>3648.97</v>
          </cell>
          <cell r="BN185">
            <v>9426.42</v>
          </cell>
          <cell r="BO185">
            <v>4780.24</v>
          </cell>
          <cell r="BP185">
            <v>8446.65</v>
          </cell>
          <cell r="BQ185">
            <v>2759.49</v>
          </cell>
          <cell r="BR185">
            <v>1271.1500000000001</v>
          </cell>
          <cell r="BS185">
            <v>8807.36</v>
          </cell>
          <cell r="BT185">
            <v>4084.56</v>
          </cell>
          <cell r="BU185">
            <v>11057.75</v>
          </cell>
          <cell r="BV185">
            <v>6392.59</v>
          </cell>
          <cell r="BW185">
            <v>12938.49</v>
          </cell>
          <cell r="BX185">
            <v>2841.7</v>
          </cell>
          <cell r="BY185">
            <v>13927.53</v>
          </cell>
          <cell r="BZ185">
            <v>12443.43</v>
          </cell>
          <cell r="CA185">
            <v>227.42</v>
          </cell>
          <cell r="CB185">
            <v>6584.82</v>
          </cell>
          <cell r="CC185">
            <v>5487.47</v>
          </cell>
          <cell r="CD185">
            <v>3863</v>
          </cell>
          <cell r="CE185">
            <v>2548.77</v>
          </cell>
          <cell r="CF185">
            <v>2501.54</v>
          </cell>
          <cell r="CG185">
            <v>5205.75</v>
          </cell>
          <cell r="CH185">
            <v>2759.66</v>
          </cell>
          <cell r="CI185">
            <v>14680.45</v>
          </cell>
          <cell r="CJ185">
            <v>1249</v>
          </cell>
          <cell r="CK185">
            <v>5627.21</v>
          </cell>
          <cell r="CL185">
            <v>2460</v>
          </cell>
          <cell r="CM185">
            <v>7386.1</v>
          </cell>
          <cell r="CN185">
            <v>8985.34</v>
          </cell>
          <cell r="CO185">
            <v>6182.16</v>
          </cell>
          <cell r="CP185">
            <v>5776.17</v>
          </cell>
          <cell r="CQ185">
            <v>4407</v>
          </cell>
          <cell r="CR185">
            <v>10049.299999999999</v>
          </cell>
          <cell r="CS185">
            <v>16048.34</v>
          </cell>
          <cell r="CT185">
            <v>18788.349999999999</v>
          </cell>
          <cell r="CU185">
            <v>15741.12</v>
          </cell>
          <cell r="CV185">
            <v>4715.07</v>
          </cell>
          <cell r="CW185">
            <v>7784.29</v>
          </cell>
          <cell r="CX185">
            <v>14857.68</v>
          </cell>
          <cell r="CY185">
            <v>22224.57</v>
          </cell>
          <cell r="CZ185">
            <v>50696.1</v>
          </cell>
          <cell r="DA185">
            <v>37082.480000000003</v>
          </cell>
          <cell r="DB185">
            <v>39007.94</v>
          </cell>
          <cell r="DC185">
            <v>25955.53</v>
          </cell>
          <cell r="DD185">
            <v>32321.13</v>
          </cell>
          <cell r="DE185">
            <v>49640.89</v>
          </cell>
          <cell r="DF185">
            <v>18139.240000000002</v>
          </cell>
          <cell r="DG185">
            <v>13347.88</v>
          </cell>
          <cell r="DH185">
            <v>315772.79999999999</v>
          </cell>
        </row>
        <row r="186">
          <cell r="A186" t="str">
            <v>6030080</v>
          </cell>
          <cell r="B186" t="str">
            <v>6030080</v>
          </cell>
          <cell r="C186" t="str">
            <v>EE Travel Lodging</v>
          </cell>
          <cell r="D186">
            <v>7736</v>
          </cell>
          <cell r="E186">
            <v>40559.449999999997</v>
          </cell>
          <cell r="F186">
            <v>37419.449999999997</v>
          </cell>
          <cell r="G186">
            <v>28269.57</v>
          </cell>
          <cell r="H186">
            <v>43552.959999999999</v>
          </cell>
          <cell r="I186">
            <v>43523.97</v>
          </cell>
          <cell r="J186">
            <v>46204.08</v>
          </cell>
          <cell r="K186">
            <v>34164.769999999997</v>
          </cell>
          <cell r="L186">
            <v>43093.18</v>
          </cell>
          <cell r="M186">
            <v>46775.22</v>
          </cell>
          <cell r="N186">
            <v>46288.81</v>
          </cell>
          <cell r="O186">
            <v>61326.21</v>
          </cell>
          <cell r="P186">
            <v>6916.33</v>
          </cell>
          <cell r="Q186">
            <v>34543.440000000002</v>
          </cell>
          <cell r="R186">
            <v>45384.85</v>
          </cell>
          <cell r="S186">
            <v>46776.38</v>
          </cell>
          <cell r="T186">
            <v>50798.14</v>
          </cell>
          <cell r="U186">
            <v>59764.42</v>
          </cell>
          <cell r="V186">
            <v>58262.63</v>
          </cell>
          <cell r="W186">
            <v>44690.879999999997</v>
          </cell>
          <cell r="X186">
            <v>46296.63</v>
          </cell>
          <cell r="Y186">
            <v>70620.710000000006</v>
          </cell>
          <cell r="Z186">
            <v>51525.52</v>
          </cell>
          <cell r="AA186">
            <v>77867.92</v>
          </cell>
          <cell r="AB186">
            <v>2847.91</v>
          </cell>
          <cell r="AC186">
            <v>55202.93</v>
          </cell>
          <cell r="AD186">
            <v>44196.55</v>
          </cell>
          <cell r="AE186">
            <v>56162.720000000001</v>
          </cell>
          <cell r="AF186">
            <v>46056.65</v>
          </cell>
          <cell r="AG186">
            <v>71087.83</v>
          </cell>
          <cell r="AH186">
            <v>43588.21</v>
          </cell>
          <cell r="AI186">
            <v>41371.379999999997</v>
          </cell>
          <cell r="AJ186">
            <v>49421.7</v>
          </cell>
          <cell r="AK186">
            <v>59642.7</v>
          </cell>
          <cell r="AL186">
            <v>44183.79</v>
          </cell>
          <cell r="AM186">
            <v>91292.81</v>
          </cell>
          <cell r="AN186">
            <v>3192.94</v>
          </cell>
          <cell r="AO186">
            <v>30600.28</v>
          </cell>
          <cell r="AP186">
            <v>48336.75</v>
          </cell>
          <cell r="AQ186">
            <v>36416.910000000003</v>
          </cell>
          <cell r="AR186">
            <v>37977.980000000003</v>
          </cell>
          <cell r="AS186">
            <v>45772.37</v>
          </cell>
          <cell r="AT186">
            <v>40382.53</v>
          </cell>
          <cell r="AU186">
            <v>30051.26</v>
          </cell>
          <cell r="AV186">
            <v>61781.81</v>
          </cell>
          <cell r="AW186">
            <v>31247.68</v>
          </cell>
          <cell r="AX186">
            <v>48561.1</v>
          </cell>
          <cell r="AY186">
            <v>82167.350000000006</v>
          </cell>
          <cell r="AZ186">
            <v>5910.29</v>
          </cell>
          <cell r="BA186">
            <v>60397.09</v>
          </cell>
          <cell r="BB186">
            <v>80157.72</v>
          </cell>
          <cell r="BC186">
            <v>52719.7</v>
          </cell>
          <cell r="BD186">
            <v>86397.46</v>
          </cell>
          <cell r="BE186">
            <v>63832.38</v>
          </cell>
          <cell r="BF186">
            <v>59296.28</v>
          </cell>
          <cell r="BG186">
            <v>57948.59</v>
          </cell>
          <cell r="BH186">
            <v>65526.16</v>
          </cell>
          <cell r="BI186">
            <v>45468.6</v>
          </cell>
          <cell r="BJ186">
            <v>60477.42</v>
          </cell>
          <cell r="BK186">
            <v>107158.8</v>
          </cell>
          <cell r="BL186">
            <v>13068.48</v>
          </cell>
          <cell r="BM186">
            <v>88142.83</v>
          </cell>
          <cell r="BN186">
            <v>70982.2</v>
          </cell>
          <cell r="BO186">
            <v>51904.08</v>
          </cell>
          <cell r="BP186">
            <v>66110.69</v>
          </cell>
          <cell r="BQ186">
            <v>76297.039999999994</v>
          </cell>
          <cell r="BR186">
            <v>75036.28</v>
          </cell>
          <cell r="BS186">
            <v>76258.17</v>
          </cell>
          <cell r="BT186">
            <v>98859.61</v>
          </cell>
          <cell r="BU186">
            <v>83029.08</v>
          </cell>
          <cell r="BV186">
            <v>62183.839999999997</v>
          </cell>
          <cell r="BW186">
            <v>112337.1</v>
          </cell>
          <cell r="BX186">
            <v>12463.05</v>
          </cell>
          <cell r="BY186">
            <v>63082.85</v>
          </cell>
          <cell r="BZ186">
            <v>90792.7</v>
          </cell>
          <cell r="CA186">
            <v>45355.74</v>
          </cell>
          <cell r="CB186">
            <v>2199.6999999999998</v>
          </cell>
          <cell r="CC186">
            <v>4014.23</v>
          </cell>
          <cell r="CD186">
            <v>16428.41</v>
          </cell>
          <cell r="CE186">
            <v>28465.84</v>
          </cell>
          <cell r="CF186">
            <v>41892.58</v>
          </cell>
          <cell r="CG186">
            <v>25637.71</v>
          </cell>
          <cell r="CH186">
            <v>27798.720000000001</v>
          </cell>
          <cell r="CI186">
            <v>32269.71</v>
          </cell>
          <cell r="CJ186">
            <v>13099.26</v>
          </cell>
          <cell r="CK186">
            <v>33961.43</v>
          </cell>
          <cell r="CL186">
            <v>44437.73</v>
          </cell>
          <cell r="CM186">
            <v>43745.52</v>
          </cell>
          <cell r="CN186">
            <v>49384.1</v>
          </cell>
          <cell r="CO186">
            <v>41439.51</v>
          </cell>
          <cell r="CP186">
            <v>39544.49</v>
          </cell>
          <cell r="CQ186">
            <v>61540.95</v>
          </cell>
          <cell r="CR186">
            <v>52182.32</v>
          </cell>
          <cell r="CS186">
            <v>38707.06</v>
          </cell>
          <cell r="CT186">
            <v>67333.06</v>
          </cell>
          <cell r="CU186">
            <v>96415.49</v>
          </cell>
          <cell r="CV186">
            <v>22711.759999999998</v>
          </cell>
          <cell r="CW186">
            <v>47441.98</v>
          </cell>
          <cell r="CX186">
            <v>79919.55</v>
          </cell>
          <cell r="CY186">
            <v>83058.63</v>
          </cell>
          <cell r="CZ186">
            <v>97537.24</v>
          </cell>
          <cell r="DA186">
            <v>101485.24</v>
          </cell>
          <cell r="DB186">
            <v>62792.51</v>
          </cell>
          <cell r="DC186">
            <v>150282.47</v>
          </cell>
          <cell r="DD186">
            <v>97040.52</v>
          </cell>
          <cell r="DE186">
            <v>130548.85</v>
          </cell>
          <cell r="DF186">
            <v>142154.10999999999</v>
          </cell>
          <cell r="DG186">
            <v>135571.6</v>
          </cell>
          <cell r="DH186">
            <v>1150544.46</v>
          </cell>
        </row>
        <row r="187">
          <cell r="A187" t="str">
            <v>6030090</v>
          </cell>
          <cell r="B187" t="str">
            <v>6030090</v>
          </cell>
          <cell r="C187" t="str">
            <v>Empl Exp - Relocation Expenses</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2500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1000</v>
          </cell>
          <cell r="CV187">
            <v>0</v>
          </cell>
          <cell r="CW187">
            <v>0</v>
          </cell>
          <cell r="CX187">
            <v>0</v>
          </cell>
          <cell r="CY187">
            <v>0</v>
          </cell>
          <cell r="CZ187">
            <v>0</v>
          </cell>
          <cell r="DA187">
            <v>0</v>
          </cell>
          <cell r="DB187">
            <v>370</v>
          </cell>
          <cell r="DC187">
            <v>0</v>
          </cell>
          <cell r="DD187">
            <v>0</v>
          </cell>
          <cell r="DE187">
            <v>809</v>
          </cell>
          <cell r="DF187">
            <v>1230</v>
          </cell>
          <cell r="DG187">
            <v>0</v>
          </cell>
          <cell r="DH187">
            <v>2409</v>
          </cell>
        </row>
        <row r="188">
          <cell r="A188" t="str">
            <v>6030091</v>
          </cell>
          <cell r="B188" t="str">
            <v>6030091</v>
          </cell>
          <cell r="C188" t="str">
            <v>Empl Exp - Employee Appreciation and Gift Cards</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320.01</v>
          </cell>
          <cell r="CF188">
            <v>869.41</v>
          </cell>
          <cell r="CG188">
            <v>216.13</v>
          </cell>
          <cell r="CH188">
            <v>1105.3499999999999</v>
          </cell>
          <cell r="CI188">
            <v>7247.38</v>
          </cell>
          <cell r="CJ188">
            <v>4063.79</v>
          </cell>
          <cell r="CK188">
            <v>794.39</v>
          </cell>
          <cell r="CL188">
            <v>1673.25</v>
          </cell>
          <cell r="CM188">
            <v>2261.7399999999998</v>
          </cell>
          <cell r="CN188">
            <v>1987.87</v>
          </cell>
          <cell r="CO188">
            <v>2663.46</v>
          </cell>
          <cell r="CP188">
            <v>819.08</v>
          </cell>
          <cell r="CQ188">
            <v>518.72</v>
          </cell>
          <cell r="CR188">
            <v>516.66</v>
          </cell>
          <cell r="CS188">
            <v>931.26</v>
          </cell>
          <cell r="CT188">
            <v>4634.03</v>
          </cell>
          <cell r="CU188">
            <v>7850.82</v>
          </cell>
          <cell r="CV188">
            <v>6094.89</v>
          </cell>
          <cell r="CW188">
            <v>2612.5100000000002</v>
          </cell>
          <cell r="CX188">
            <v>1293.5999999999999</v>
          </cell>
          <cell r="CY188">
            <v>4254.6899999999996</v>
          </cell>
          <cell r="CZ188">
            <v>2803.23</v>
          </cell>
          <cell r="DA188">
            <v>3274.12</v>
          </cell>
          <cell r="DB188">
            <v>311.57</v>
          </cell>
          <cell r="DC188">
            <v>1845.87</v>
          </cell>
          <cell r="DD188">
            <v>1787.77</v>
          </cell>
          <cell r="DE188">
            <v>3937.05</v>
          </cell>
          <cell r="DF188">
            <v>3647.97</v>
          </cell>
          <cell r="DG188">
            <v>5412.95</v>
          </cell>
          <cell r="DH188">
            <v>37276.22</v>
          </cell>
        </row>
        <row r="189">
          <cell r="A189" t="str">
            <v>6030800</v>
          </cell>
          <cell r="B189" t="str">
            <v>6030800</v>
          </cell>
          <cell r="C189" t="str">
            <v>EE Miscellaneous</v>
          </cell>
          <cell r="D189">
            <v>20086.47</v>
          </cell>
          <cell r="E189">
            <v>17769.22</v>
          </cell>
          <cell r="F189">
            <v>13638.02</v>
          </cell>
          <cell r="G189">
            <v>22443.08</v>
          </cell>
          <cell r="H189">
            <v>11696.11</v>
          </cell>
          <cell r="I189">
            <v>27724.27</v>
          </cell>
          <cell r="J189">
            <v>12185.42</v>
          </cell>
          <cell r="K189">
            <v>17499.419999999998</v>
          </cell>
          <cell r="L189">
            <v>11313.25</v>
          </cell>
          <cell r="M189">
            <v>29687.79</v>
          </cell>
          <cell r="N189">
            <v>14899.61</v>
          </cell>
          <cell r="O189">
            <v>33033.26</v>
          </cell>
          <cell r="P189">
            <v>6000.59</v>
          </cell>
          <cell r="Q189">
            <v>14661.56</v>
          </cell>
          <cell r="R189">
            <v>15983.69</v>
          </cell>
          <cell r="S189">
            <v>16702.48</v>
          </cell>
          <cell r="T189">
            <v>21376.240000000002</v>
          </cell>
          <cell r="U189">
            <v>20202.59</v>
          </cell>
          <cell r="V189">
            <v>17610.59</v>
          </cell>
          <cell r="W189">
            <v>22193.08</v>
          </cell>
          <cell r="X189">
            <v>29491.56</v>
          </cell>
          <cell r="Y189">
            <v>33476.04</v>
          </cell>
          <cell r="Z189">
            <v>16907.310000000001</v>
          </cell>
          <cell r="AA189">
            <v>42782.86</v>
          </cell>
          <cell r="AB189">
            <v>25509.82</v>
          </cell>
          <cell r="AC189">
            <v>19871.55</v>
          </cell>
          <cell r="AD189">
            <v>16988.29</v>
          </cell>
          <cell r="AE189">
            <v>19511.87</v>
          </cell>
          <cell r="AF189">
            <v>16345.55</v>
          </cell>
          <cell r="AG189">
            <v>17683.38</v>
          </cell>
          <cell r="AH189">
            <v>14454.65</v>
          </cell>
          <cell r="AI189">
            <v>33103.660000000003</v>
          </cell>
          <cell r="AJ189">
            <v>25112.400000000001</v>
          </cell>
          <cell r="AK189">
            <v>19863.509999999998</v>
          </cell>
          <cell r="AL189">
            <v>27004.92</v>
          </cell>
          <cell r="AM189">
            <v>49245.77</v>
          </cell>
          <cell r="AN189">
            <v>4102.05</v>
          </cell>
          <cell r="AO189">
            <v>33113.129999999997</v>
          </cell>
          <cell r="AP189">
            <v>17246.810000000001</v>
          </cell>
          <cell r="AQ189">
            <v>23900.22</v>
          </cell>
          <cell r="AR189">
            <v>22583.119999999999</v>
          </cell>
          <cell r="AS189">
            <v>14361.51</v>
          </cell>
          <cell r="AT189">
            <v>13390.62</v>
          </cell>
          <cell r="AU189">
            <v>20852.650000000001</v>
          </cell>
          <cell r="AV189">
            <v>18931.23</v>
          </cell>
          <cell r="AW189">
            <v>25103.77</v>
          </cell>
          <cell r="AX189">
            <v>21376.65</v>
          </cell>
          <cell r="AY189">
            <v>31775.03</v>
          </cell>
          <cell r="AZ189">
            <v>6146.3</v>
          </cell>
          <cell r="BA189">
            <v>19009.09</v>
          </cell>
          <cell r="BB189">
            <v>16546.330000000002</v>
          </cell>
          <cell r="BC189">
            <v>22908.65</v>
          </cell>
          <cell r="BD189">
            <v>29676.02</v>
          </cell>
          <cell r="BE189">
            <v>30894.66</v>
          </cell>
          <cell r="BF189">
            <v>12786.32</v>
          </cell>
          <cell r="BG189">
            <v>23931.599999999999</v>
          </cell>
          <cell r="BH189">
            <v>13052.59</v>
          </cell>
          <cell r="BI189">
            <v>16266</v>
          </cell>
          <cell r="BJ189">
            <v>20346.7</v>
          </cell>
          <cell r="BK189">
            <v>22394.58</v>
          </cell>
          <cell r="BL189">
            <v>4335.07</v>
          </cell>
          <cell r="BM189">
            <v>11192.94</v>
          </cell>
          <cell r="BN189">
            <v>27113.66</v>
          </cell>
          <cell r="BO189">
            <v>9937.0400000000009</v>
          </cell>
          <cell r="BP189">
            <v>14410.31</v>
          </cell>
          <cell r="BQ189">
            <v>17696</v>
          </cell>
          <cell r="BR189">
            <v>43108.4</v>
          </cell>
          <cell r="BS189">
            <v>42107.62</v>
          </cell>
          <cell r="BT189">
            <v>30278.95</v>
          </cell>
          <cell r="BU189">
            <v>40479.57</v>
          </cell>
          <cell r="BV189">
            <v>85744.639999999999</v>
          </cell>
          <cell r="BW189">
            <v>77597.09</v>
          </cell>
          <cell r="BX189">
            <v>1140.3900000000001</v>
          </cell>
          <cell r="BY189">
            <v>37356.19</v>
          </cell>
          <cell r="BZ189">
            <v>85623.3</v>
          </cell>
          <cell r="CA189">
            <v>33287.31</v>
          </cell>
          <cell r="CB189">
            <v>28554.15</v>
          </cell>
          <cell r="CC189">
            <v>29974.95</v>
          </cell>
          <cell r="CD189">
            <v>-2990.04</v>
          </cell>
          <cell r="CE189">
            <v>29298.32</v>
          </cell>
          <cell r="CF189">
            <v>31958.03</v>
          </cell>
          <cell r="CG189">
            <v>23753.86</v>
          </cell>
          <cell r="CH189">
            <v>16529.13</v>
          </cell>
          <cell r="CI189">
            <v>33935.14</v>
          </cell>
          <cell r="CJ189">
            <v>6574.57</v>
          </cell>
          <cell r="CK189">
            <v>42065.74</v>
          </cell>
          <cell r="CL189">
            <v>14197.5</v>
          </cell>
          <cell r="CM189">
            <v>26016.91</v>
          </cell>
          <cell r="CN189">
            <v>18873.53</v>
          </cell>
          <cell r="CO189">
            <v>23484.05</v>
          </cell>
          <cell r="CP189">
            <v>18780.830000000002</v>
          </cell>
          <cell r="CQ189">
            <v>60048.38</v>
          </cell>
          <cell r="CR189">
            <v>28105.91</v>
          </cell>
          <cell r="CS189">
            <v>17673.93</v>
          </cell>
          <cell r="CT189">
            <v>36943.96</v>
          </cell>
          <cell r="CU189">
            <v>27326.76</v>
          </cell>
          <cell r="CV189">
            <v>25752.27</v>
          </cell>
          <cell r="CW189">
            <v>23537.67</v>
          </cell>
          <cell r="CX189">
            <v>42869.82</v>
          </cell>
          <cell r="CY189">
            <v>22084.13</v>
          </cell>
          <cell r="CZ189">
            <v>11339.15</v>
          </cell>
          <cell r="DA189">
            <v>26730.76</v>
          </cell>
          <cell r="DB189">
            <v>10354.39</v>
          </cell>
          <cell r="DC189">
            <v>10221.370000000001</v>
          </cell>
          <cell r="DD189">
            <v>67185.53</v>
          </cell>
          <cell r="DE189">
            <v>31053.53</v>
          </cell>
          <cell r="DF189">
            <v>118643.28</v>
          </cell>
          <cell r="DG189">
            <v>111379.06</v>
          </cell>
          <cell r="DH189">
            <v>501150.96</v>
          </cell>
        </row>
        <row r="190">
          <cell r="A190" t="str">
            <v>6038999</v>
          </cell>
          <cell r="B190" t="str">
            <v>6038999</v>
          </cell>
          <cell r="C190" t="str">
            <v>Employee Exp Reclass</v>
          </cell>
          <cell r="D190">
            <v>0</v>
          </cell>
          <cell r="E190">
            <v>0</v>
          </cell>
          <cell r="F190">
            <v>0</v>
          </cell>
          <cell r="G190">
            <v>0</v>
          </cell>
          <cell r="H190">
            <v>0</v>
          </cell>
          <cell r="I190">
            <v>0</v>
          </cell>
          <cell r="J190">
            <v>0</v>
          </cell>
          <cell r="K190">
            <v>0</v>
          </cell>
          <cell r="L190">
            <v>0</v>
          </cell>
          <cell r="M190">
            <v>0</v>
          </cell>
          <cell r="N190">
            <v>204.7</v>
          </cell>
          <cell r="O190">
            <v>0</v>
          </cell>
          <cell r="P190">
            <v>0</v>
          </cell>
          <cell r="Q190">
            <v>0</v>
          </cell>
          <cell r="R190">
            <v>0</v>
          </cell>
          <cell r="S190">
            <v>0</v>
          </cell>
          <cell r="T190">
            <v>0</v>
          </cell>
          <cell r="U190">
            <v>0</v>
          </cell>
          <cell r="V190">
            <v>204.7</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1244.3599999999999</v>
          </cell>
          <cell r="AN190">
            <v>53.71</v>
          </cell>
          <cell r="AO190">
            <v>-0.06</v>
          </cell>
          <cell r="AP190">
            <v>0</v>
          </cell>
          <cell r="AQ190">
            <v>2.4</v>
          </cell>
          <cell r="AR190">
            <v>0</v>
          </cell>
          <cell r="AS190">
            <v>0</v>
          </cell>
          <cell r="AT190">
            <v>0</v>
          </cell>
          <cell r="AU190">
            <v>0</v>
          </cell>
          <cell r="AV190">
            <v>0</v>
          </cell>
          <cell r="AW190">
            <v>0</v>
          </cell>
          <cell r="AX190">
            <v>0</v>
          </cell>
          <cell r="AY190">
            <v>0</v>
          </cell>
          <cell r="AZ190">
            <v>0</v>
          </cell>
          <cell r="BA190">
            <v>824.02</v>
          </cell>
          <cell r="BB190">
            <v>0</v>
          </cell>
          <cell r="BC190">
            <v>0</v>
          </cell>
          <cell r="BD190">
            <v>0</v>
          </cell>
          <cell r="BE190">
            <v>0</v>
          </cell>
          <cell r="BF190">
            <v>0</v>
          </cell>
          <cell r="BG190">
            <v>605.25</v>
          </cell>
          <cell r="BH190">
            <v>0</v>
          </cell>
          <cell r="BI190">
            <v>0</v>
          </cell>
          <cell r="BJ190">
            <v>21.89</v>
          </cell>
          <cell r="BK190">
            <v>1141.04</v>
          </cell>
          <cell r="BL190">
            <v>0</v>
          </cell>
          <cell r="BM190">
            <v>-377.18</v>
          </cell>
          <cell r="BN190">
            <v>1401.13</v>
          </cell>
          <cell r="BO190">
            <v>501.58</v>
          </cell>
          <cell r="BP190">
            <v>111.06</v>
          </cell>
          <cell r="BQ190">
            <v>866.07</v>
          </cell>
          <cell r="BR190">
            <v>946.84</v>
          </cell>
          <cell r="BS190">
            <v>526.53</v>
          </cell>
          <cell r="BT190">
            <v>1035.1199999999999</v>
          </cell>
          <cell r="BU190">
            <v>1707.5</v>
          </cell>
          <cell r="BV190">
            <v>783.36</v>
          </cell>
          <cell r="BW190">
            <v>1287.05</v>
          </cell>
          <cell r="BX190">
            <v>0</v>
          </cell>
          <cell r="BY190">
            <v>803.57</v>
          </cell>
          <cell r="BZ190">
            <v>0</v>
          </cell>
          <cell r="CA190">
            <v>0</v>
          </cell>
          <cell r="CB190">
            <v>0</v>
          </cell>
          <cell r="CC190">
            <v>0</v>
          </cell>
          <cell r="CD190">
            <v>0</v>
          </cell>
          <cell r="CE190">
            <v>0</v>
          </cell>
          <cell r="CF190">
            <v>507.97</v>
          </cell>
          <cell r="CG190">
            <v>0</v>
          </cell>
          <cell r="CH190">
            <v>0</v>
          </cell>
          <cell r="CI190">
            <v>0</v>
          </cell>
          <cell r="CJ190">
            <v>0</v>
          </cell>
          <cell r="CK190">
            <v>0</v>
          </cell>
          <cell r="CL190">
            <v>0</v>
          </cell>
          <cell r="CM190">
            <v>337.68</v>
          </cell>
          <cell r="CN190">
            <v>717.78</v>
          </cell>
          <cell r="CO190">
            <v>0</v>
          </cell>
          <cell r="CP190">
            <v>0</v>
          </cell>
          <cell r="CQ190">
            <v>0</v>
          </cell>
          <cell r="CR190">
            <v>5320</v>
          </cell>
          <cell r="CS190">
            <v>-5320</v>
          </cell>
          <cell r="CT190">
            <v>0</v>
          </cell>
          <cell r="CU190">
            <v>244.29</v>
          </cell>
          <cell r="CV190">
            <v>0</v>
          </cell>
          <cell r="CW190">
            <v>0</v>
          </cell>
          <cell r="CX190">
            <v>0</v>
          </cell>
          <cell r="CY190">
            <v>0</v>
          </cell>
          <cell r="CZ190">
            <v>0</v>
          </cell>
          <cell r="DA190">
            <v>0</v>
          </cell>
          <cell r="DB190">
            <v>0</v>
          </cell>
          <cell r="DC190">
            <v>26.99</v>
          </cell>
          <cell r="DD190">
            <v>3.26</v>
          </cell>
          <cell r="DE190">
            <v>-52514.76</v>
          </cell>
          <cell r="DF190">
            <v>52853.84</v>
          </cell>
          <cell r="DG190">
            <v>0</v>
          </cell>
          <cell r="DH190">
            <v>369.32999999999447</v>
          </cell>
        </row>
        <row r="191">
          <cell r="A191" t="str">
            <v>6039000</v>
          </cell>
          <cell r="B191" t="str">
            <v>6039000</v>
          </cell>
          <cell r="C191" t="str">
            <v>Emp Exp to BalSheet</v>
          </cell>
          <cell r="D191">
            <v>-1841.06</v>
          </cell>
          <cell r="E191">
            <v>-11981.54</v>
          </cell>
          <cell r="F191">
            <v>-6559.9</v>
          </cell>
          <cell r="G191">
            <v>-4153.88</v>
          </cell>
          <cell r="H191">
            <v>-8068.38</v>
          </cell>
          <cell r="I191">
            <v>-7772.81</v>
          </cell>
          <cell r="J191">
            <v>-5302.19</v>
          </cell>
          <cell r="K191">
            <v>-2680.1</v>
          </cell>
          <cell r="L191">
            <v>-9915.69</v>
          </cell>
          <cell r="M191">
            <v>-9424.4599999999991</v>
          </cell>
          <cell r="N191">
            <v>-7777.87</v>
          </cell>
          <cell r="O191">
            <v>-16588.64</v>
          </cell>
          <cell r="P191">
            <v>-3641.77</v>
          </cell>
          <cell r="Q191">
            <v>-11706.79</v>
          </cell>
          <cell r="R191">
            <v>-8924.2900000000009</v>
          </cell>
          <cell r="S191">
            <v>-6337.95</v>
          </cell>
          <cell r="T191">
            <v>-7431.02</v>
          </cell>
          <cell r="U191">
            <v>-6866.02</v>
          </cell>
          <cell r="V191">
            <v>-3496.21</v>
          </cell>
          <cell r="W191">
            <v>-3809.22</v>
          </cell>
          <cell r="X191">
            <v>-4407.9799999999996</v>
          </cell>
          <cell r="Y191">
            <v>-4455.8500000000004</v>
          </cell>
          <cell r="Z191">
            <v>-1550.5</v>
          </cell>
          <cell r="AA191">
            <v>-8971.7099999999991</v>
          </cell>
          <cell r="AB191">
            <v>-8572.68</v>
          </cell>
          <cell r="AC191">
            <v>-6825.8</v>
          </cell>
          <cell r="AD191">
            <v>-892.39</v>
          </cell>
          <cell r="AE191">
            <v>-3859.68</v>
          </cell>
          <cell r="AF191">
            <v>-4143.8500000000004</v>
          </cell>
          <cell r="AG191">
            <v>-6772.97</v>
          </cell>
          <cell r="AH191">
            <v>-3640.51</v>
          </cell>
          <cell r="AI191">
            <v>-4051.47</v>
          </cell>
          <cell r="AJ191">
            <v>-2074.2600000000002</v>
          </cell>
          <cell r="AK191">
            <v>-2969.16</v>
          </cell>
          <cell r="AL191">
            <v>-10107.41</v>
          </cell>
          <cell r="AM191">
            <v>-4748.43</v>
          </cell>
          <cell r="AN191">
            <v>-1504.9</v>
          </cell>
          <cell r="AO191">
            <v>-2303.04</v>
          </cell>
          <cell r="AP191">
            <v>-3542.47</v>
          </cell>
          <cell r="AQ191">
            <v>-6093.17</v>
          </cell>
          <cell r="AR191">
            <v>-8449.16</v>
          </cell>
          <cell r="AS191">
            <v>-5729.55</v>
          </cell>
          <cell r="AT191">
            <v>-4239.3</v>
          </cell>
          <cell r="AU191">
            <v>-7080.66</v>
          </cell>
          <cell r="AV191">
            <v>-84200.78</v>
          </cell>
          <cell r="AW191">
            <v>17415.939999999999</v>
          </cell>
          <cell r="AX191">
            <v>-53640.45</v>
          </cell>
          <cell r="AY191">
            <v>-15907.73</v>
          </cell>
          <cell r="AZ191">
            <v>-3941.21</v>
          </cell>
          <cell r="BA191">
            <v>-8812.82</v>
          </cell>
          <cell r="BB191">
            <v>-4069.69</v>
          </cell>
          <cell r="BC191">
            <v>-4065.24</v>
          </cell>
          <cell r="BD191">
            <v>-10058.57</v>
          </cell>
          <cell r="BE191">
            <v>-9702.0499999999993</v>
          </cell>
          <cell r="BF191">
            <v>-11651.79</v>
          </cell>
          <cell r="BG191">
            <v>-9020.08</v>
          </cell>
          <cell r="BH191">
            <v>-11091.21</v>
          </cell>
          <cell r="BI191">
            <v>-9277.3700000000008</v>
          </cell>
          <cell r="BJ191">
            <v>-335120.96000000002</v>
          </cell>
          <cell r="BK191">
            <v>-22298.26</v>
          </cell>
          <cell r="BL191">
            <v>7282.13</v>
          </cell>
          <cell r="BM191">
            <v>-12056.95</v>
          </cell>
          <cell r="BN191">
            <v>-11115.39</v>
          </cell>
          <cell r="BO191">
            <v>-24822.22</v>
          </cell>
          <cell r="BP191">
            <v>-16378.33</v>
          </cell>
          <cell r="BQ191">
            <v>-101946.06</v>
          </cell>
          <cell r="BR191">
            <v>-24552.44</v>
          </cell>
          <cell r="BS191">
            <v>-32665.33</v>
          </cell>
          <cell r="BT191">
            <v>-30619.22</v>
          </cell>
          <cell r="BU191">
            <v>-77353.41</v>
          </cell>
          <cell r="BV191">
            <v>-45570.84</v>
          </cell>
          <cell r="BW191">
            <v>-58794.41</v>
          </cell>
          <cell r="BX191">
            <v>-6147.89</v>
          </cell>
          <cell r="BY191">
            <v>-22340.68</v>
          </cell>
          <cell r="BZ191">
            <v>-38474.18</v>
          </cell>
          <cell r="CA191">
            <v>-10921.86</v>
          </cell>
          <cell r="CB191">
            <v>-12151.62</v>
          </cell>
          <cell r="CC191">
            <v>-11948.6</v>
          </cell>
          <cell r="CD191">
            <v>-19171.560000000001</v>
          </cell>
          <cell r="CE191">
            <v>-16054.52</v>
          </cell>
          <cell r="CF191">
            <v>-10413.44</v>
          </cell>
          <cell r="CG191">
            <v>-51950.66</v>
          </cell>
          <cell r="CH191">
            <v>-74510.759999999995</v>
          </cell>
          <cell r="CI191">
            <v>-15252.34</v>
          </cell>
          <cell r="CJ191">
            <v>-102143.61</v>
          </cell>
          <cell r="CK191">
            <v>-32358.23</v>
          </cell>
          <cell r="CL191">
            <v>-21000.45</v>
          </cell>
          <cell r="CM191">
            <v>-31899.52</v>
          </cell>
          <cell r="CN191">
            <v>-26840.55</v>
          </cell>
          <cell r="CO191">
            <v>-56043.43</v>
          </cell>
          <cell r="CP191">
            <v>-10218.049999999999</v>
          </cell>
          <cell r="CQ191">
            <v>-87947.43</v>
          </cell>
          <cell r="CR191">
            <v>-15208.16</v>
          </cell>
          <cell r="CS191">
            <v>-28586.95</v>
          </cell>
          <cell r="CT191">
            <v>-42932.95</v>
          </cell>
          <cell r="CU191">
            <v>-51231.77</v>
          </cell>
          <cell r="CV191">
            <v>-15229.46</v>
          </cell>
          <cell r="CW191">
            <v>-14014.94</v>
          </cell>
          <cell r="CX191">
            <v>-30154.91</v>
          </cell>
          <cell r="CY191">
            <v>-15087.13</v>
          </cell>
          <cell r="CZ191">
            <v>-18309.11</v>
          </cell>
          <cell r="DA191">
            <v>-25839.89</v>
          </cell>
          <cell r="DB191">
            <v>-15360.37</v>
          </cell>
          <cell r="DC191">
            <v>-63930.66</v>
          </cell>
          <cell r="DD191">
            <v>-47706.15</v>
          </cell>
          <cell r="DE191">
            <v>-39129.370000000003</v>
          </cell>
          <cell r="DF191">
            <v>-144770.1</v>
          </cell>
          <cell r="DG191">
            <v>-65287.63</v>
          </cell>
          <cell r="DH191">
            <v>-494819.72</v>
          </cell>
        </row>
        <row r="192">
          <cell r="A192" t="str">
            <v>6100010</v>
          </cell>
          <cell r="B192" t="str">
            <v>6100010</v>
          </cell>
          <cell r="C192" t="str">
            <v>Advertising</v>
          </cell>
          <cell r="D192">
            <v>158550.01999999999</v>
          </cell>
          <cell r="E192">
            <v>283898.05</v>
          </cell>
          <cell r="F192">
            <v>107052.03</v>
          </cell>
          <cell r="G192">
            <v>50398.83</v>
          </cell>
          <cell r="H192">
            <v>165777.04999999999</v>
          </cell>
          <cell r="I192">
            <v>261053.96</v>
          </cell>
          <cell r="J192">
            <v>78859.5</v>
          </cell>
          <cell r="K192">
            <v>230474.65</v>
          </cell>
          <cell r="L192">
            <v>329610.07</v>
          </cell>
          <cell r="M192">
            <v>93440.5</v>
          </cell>
          <cell r="N192">
            <v>26037.37</v>
          </cell>
          <cell r="O192">
            <v>73512.009999999995</v>
          </cell>
          <cell r="P192">
            <v>119530.55</v>
          </cell>
          <cell r="Q192">
            <v>132423.9</v>
          </cell>
          <cell r="R192">
            <v>106691.21</v>
          </cell>
          <cell r="S192">
            <v>35611.050000000003</v>
          </cell>
          <cell r="T192">
            <v>68139.350000000006</v>
          </cell>
          <cell r="U192">
            <v>126407.82</v>
          </cell>
          <cell r="V192">
            <v>180692.89</v>
          </cell>
          <cell r="W192">
            <v>241444.88</v>
          </cell>
          <cell r="X192">
            <v>230242.29</v>
          </cell>
          <cell r="Y192">
            <v>342440.74</v>
          </cell>
          <cell r="Z192">
            <v>44485.27</v>
          </cell>
          <cell r="AA192">
            <v>69699.100000000006</v>
          </cell>
          <cell r="AB192">
            <v>111947.84</v>
          </cell>
          <cell r="AC192">
            <v>39883.96</v>
          </cell>
          <cell r="AD192">
            <v>130017.83</v>
          </cell>
          <cell r="AE192">
            <v>130238.88</v>
          </cell>
          <cell r="AF192">
            <v>209253.15</v>
          </cell>
          <cell r="AG192">
            <v>83654.45</v>
          </cell>
          <cell r="AH192">
            <v>-46999.4</v>
          </cell>
          <cell r="AI192">
            <v>462674.56</v>
          </cell>
          <cell r="AJ192">
            <v>113677.14</v>
          </cell>
          <cell r="AK192">
            <v>185259.54</v>
          </cell>
          <cell r="AL192">
            <v>70520.850000000006</v>
          </cell>
          <cell r="AM192">
            <v>373784.9</v>
          </cell>
          <cell r="AN192">
            <v>41074.19</v>
          </cell>
          <cell r="AO192">
            <v>97741.119999999995</v>
          </cell>
          <cell r="AP192">
            <v>16106.13</v>
          </cell>
          <cell r="AQ192">
            <v>25285.93</v>
          </cell>
          <cell r="AR192">
            <v>125121.91</v>
          </cell>
          <cell r="AS192">
            <v>72219.27</v>
          </cell>
          <cell r="AT192">
            <v>62486.17</v>
          </cell>
          <cell r="AU192">
            <v>15788.65</v>
          </cell>
          <cell r="AV192">
            <v>3047.25</v>
          </cell>
          <cell r="AW192">
            <v>516539.53</v>
          </cell>
          <cell r="AX192">
            <v>281097.75</v>
          </cell>
          <cell r="AY192">
            <v>341429.55</v>
          </cell>
          <cell r="AZ192">
            <v>36850.519999999997</v>
          </cell>
          <cell r="BA192">
            <v>5222.59</v>
          </cell>
          <cell r="BB192">
            <v>97696.17</v>
          </cell>
          <cell r="BC192">
            <v>223851.66</v>
          </cell>
          <cell r="BD192">
            <v>-124706.84</v>
          </cell>
          <cell r="BE192">
            <v>151820.23000000001</v>
          </cell>
          <cell r="BF192">
            <v>238065.8</v>
          </cell>
          <cell r="BG192">
            <v>190194.99</v>
          </cell>
          <cell r="BH192">
            <v>26634.95</v>
          </cell>
          <cell r="BI192">
            <v>515413.04</v>
          </cell>
          <cell r="BJ192">
            <v>43778.68</v>
          </cell>
          <cell r="BK192">
            <v>175805.99</v>
          </cell>
          <cell r="BL192">
            <v>150060.35999999999</v>
          </cell>
          <cell r="BM192">
            <v>-57315.37</v>
          </cell>
          <cell r="BN192">
            <v>26506.1</v>
          </cell>
          <cell r="BO192">
            <v>239721.42</v>
          </cell>
          <cell r="BP192">
            <v>65428.15</v>
          </cell>
          <cell r="BQ192">
            <v>20677.599999999999</v>
          </cell>
          <cell r="BR192">
            <v>103785.94</v>
          </cell>
          <cell r="BS192">
            <v>31594.75</v>
          </cell>
          <cell r="BT192">
            <v>24637.37</v>
          </cell>
          <cell r="BU192">
            <v>475503.28</v>
          </cell>
          <cell r="BV192">
            <v>154475.43</v>
          </cell>
          <cell r="BW192">
            <v>209879.59</v>
          </cell>
          <cell r="BX192">
            <v>153244</v>
          </cell>
          <cell r="BY192">
            <v>27461.77</v>
          </cell>
          <cell r="BZ192">
            <v>69581</v>
          </cell>
          <cell r="CA192">
            <v>446.33</v>
          </cell>
          <cell r="CB192">
            <v>161762.04</v>
          </cell>
          <cell r="CC192">
            <v>6299.37</v>
          </cell>
          <cell r="CD192">
            <v>60712.54</v>
          </cell>
          <cell r="CE192">
            <v>203761</v>
          </cell>
          <cell r="CF192">
            <v>154965.47</v>
          </cell>
          <cell r="CG192">
            <v>545248.76</v>
          </cell>
          <cell r="CH192">
            <v>477452.38</v>
          </cell>
          <cell r="CI192">
            <v>-67182.19</v>
          </cell>
          <cell r="CJ192">
            <v>3943.6</v>
          </cell>
          <cell r="CK192">
            <v>205670.78</v>
          </cell>
          <cell r="CL192">
            <v>136758.85999999999</v>
          </cell>
          <cell r="CM192">
            <v>196553.02</v>
          </cell>
          <cell r="CN192">
            <v>161398.48000000001</v>
          </cell>
          <cell r="CO192">
            <v>205744.23</v>
          </cell>
          <cell r="CP192">
            <v>178624.76</v>
          </cell>
          <cell r="CQ192">
            <v>-12420.54</v>
          </cell>
          <cell r="CR192">
            <v>413967.16</v>
          </cell>
          <cell r="CS192">
            <v>29548.2</v>
          </cell>
          <cell r="CT192">
            <v>174876.71</v>
          </cell>
          <cell r="CU192">
            <v>788979.67</v>
          </cell>
          <cell r="CV192">
            <v>-86883.7</v>
          </cell>
          <cell r="CW192">
            <v>163864.70000000001</v>
          </cell>
          <cell r="CX192">
            <v>314055.7</v>
          </cell>
          <cell r="CY192">
            <v>165740.48000000001</v>
          </cell>
          <cell r="CZ192">
            <v>257270.78</v>
          </cell>
          <cell r="DA192">
            <v>93642.78</v>
          </cell>
          <cell r="DB192">
            <v>302644.13</v>
          </cell>
          <cell r="DC192">
            <v>299331.90999999997</v>
          </cell>
          <cell r="DD192">
            <v>76446.47</v>
          </cell>
          <cell r="DE192">
            <v>509205.87</v>
          </cell>
          <cell r="DF192">
            <v>276916.83</v>
          </cell>
          <cell r="DG192">
            <v>403947.26</v>
          </cell>
          <cell r="DH192">
            <v>2776183.21</v>
          </cell>
        </row>
        <row r="193">
          <cell r="A193" t="str">
            <v>6100020</v>
          </cell>
          <cell r="B193" t="str">
            <v>6100020</v>
          </cell>
          <cell r="C193" t="str">
            <v>Analytical(PreMaint)</v>
          </cell>
          <cell r="D193">
            <v>0</v>
          </cell>
          <cell r="E193">
            <v>0</v>
          </cell>
          <cell r="F193">
            <v>0</v>
          </cell>
          <cell r="G193">
            <v>0</v>
          </cell>
          <cell r="H193">
            <v>0</v>
          </cell>
          <cell r="I193">
            <v>0</v>
          </cell>
          <cell r="J193">
            <v>0</v>
          </cell>
          <cell r="K193">
            <v>0</v>
          </cell>
          <cell r="L193">
            <v>0</v>
          </cell>
          <cell r="M193">
            <v>0</v>
          </cell>
          <cell r="N193">
            <v>160.63</v>
          </cell>
          <cell r="O193">
            <v>225.12</v>
          </cell>
          <cell r="P193">
            <v>0</v>
          </cell>
          <cell r="Q193">
            <v>0</v>
          </cell>
          <cell r="R193">
            <v>0</v>
          </cell>
          <cell r="S193">
            <v>0</v>
          </cell>
          <cell r="T193">
            <v>0</v>
          </cell>
          <cell r="U193">
            <v>0</v>
          </cell>
          <cell r="V193">
            <v>0</v>
          </cell>
          <cell r="W193">
            <v>0</v>
          </cell>
          <cell r="X193">
            <v>406.77</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row>
        <row r="194">
          <cell r="A194" t="str">
            <v>6100030</v>
          </cell>
          <cell r="B194" t="str">
            <v>6100030</v>
          </cell>
          <cell r="C194" t="str">
            <v>Consultants-Audit</v>
          </cell>
          <cell r="D194">
            <v>0</v>
          </cell>
          <cell r="E194">
            <v>0</v>
          </cell>
          <cell r="F194">
            <v>23500</v>
          </cell>
          <cell r="G194">
            <v>53557</v>
          </cell>
          <cell r="H194">
            <v>53557</v>
          </cell>
          <cell r="I194">
            <v>53557</v>
          </cell>
          <cell r="J194">
            <v>0</v>
          </cell>
          <cell r="K194">
            <v>0</v>
          </cell>
          <cell r="L194">
            <v>53557</v>
          </cell>
          <cell r="M194">
            <v>0</v>
          </cell>
          <cell r="N194">
            <v>53557</v>
          </cell>
          <cell r="O194">
            <v>59557</v>
          </cell>
          <cell r="P194">
            <v>0</v>
          </cell>
          <cell r="Q194">
            <v>0</v>
          </cell>
          <cell r="R194">
            <v>0</v>
          </cell>
          <cell r="S194">
            <v>59020</v>
          </cell>
          <cell r="T194">
            <v>59020</v>
          </cell>
          <cell r="U194">
            <v>59020</v>
          </cell>
          <cell r="V194">
            <v>59020</v>
          </cell>
          <cell r="W194">
            <v>40591</v>
          </cell>
          <cell r="X194">
            <v>0</v>
          </cell>
          <cell r="Y194">
            <v>0</v>
          </cell>
          <cell r="Z194">
            <v>0</v>
          </cell>
          <cell r="AA194">
            <v>186082</v>
          </cell>
          <cell r="AB194">
            <v>0</v>
          </cell>
          <cell r="AC194">
            <v>0</v>
          </cell>
          <cell r="AD194">
            <v>58750</v>
          </cell>
          <cell r="AE194">
            <v>40000</v>
          </cell>
          <cell r="AF194">
            <v>26560</v>
          </cell>
          <cell r="AG194">
            <v>0</v>
          </cell>
          <cell r="AH194">
            <v>153837</v>
          </cell>
          <cell r="AI194">
            <v>0</v>
          </cell>
          <cell r="AJ194">
            <v>0</v>
          </cell>
          <cell r="AK194">
            <v>0</v>
          </cell>
          <cell r="AL194">
            <v>63605</v>
          </cell>
          <cell r="AM194">
            <v>52565</v>
          </cell>
          <cell r="AN194">
            <v>0</v>
          </cell>
          <cell r="AO194">
            <v>0</v>
          </cell>
          <cell r="AP194">
            <v>0</v>
          </cell>
          <cell r="AQ194">
            <v>0</v>
          </cell>
          <cell r="AR194">
            <v>140000</v>
          </cell>
          <cell r="AS194">
            <v>0</v>
          </cell>
          <cell r="AT194">
            <v>35000</v>
          </cell>
          <cell r="AU194">
            <v>0</v>
          </cell>
          <cell r="AV194">
            <v>0</v>
          </cell>
          <cell r="AW194">
            <v>0</v>
          </cell>
          <cell r="AX194">
            <v>55000</v>
          </cell>
          <cell r="AY194">
            <v>79799.11</v>
          </cell>
          <cell r="AZ194">
            <v>0</v>
          </cell>
          <cell r="BA194">
            <v>0</v>
          </cell>
          <cell r="BB194">
            <v>33333</v>
          </cell>
          <cell r="BC194">
            <v>10000</v>
          </cell>
          <cell r="BD194">
            <v>0</v>
          </cell>
          <cell r="BE194">
            <v>33333</v>
          </cell>
          <cell r="BF194">
            <v>0</v>
          </cell>
          <cell r="BG194">
            <v>0</v>
          </cell>
          <cell r="BH194">
            <v>33333</v>
          </cell>
          <cell r="BI194">
            <v>0</v>
          </cell>
          <cell r="BJ194">
            <v>0</v>
          </cell>
          <cell r="BK194">
            <v>33333</v>
          </cell>
          <cell r="BL194">
            <v>0</v>
          </cell>
          <cell r="BM194">
            <v>20468</v>
          </cell>
          <cell r="BN194">
            <v>6000</v>
          </cell>
          <cell r="BO194">
            <v>0</v>
          </cell>
          <cell r="BP194">
            <v>31250</v>
          </cell>
          <cell r="BQ194">
            <v>31250</v>
          </cell>
          <cell r="BR194">
            <v>0</v>
          </cell>
          <cell r="BS194">
            <v>3228.14</v>
          </cell>
          <cell r="BT194">
            <v>31250</v>
          </cell>
          <cell r="BU194">
            <v>0</v>
          </cell>
          <cell r="BV194">
            <v>39280.629999999997</v>
          </cell>
          <cell r="BW194">
            <v>0</v>
          </cell>
          <cell r="BX194">
            <v>0</v>
          </cell>
          <cell r="BY194">
            <v>15000</v>
          </cell>
          <cell r="BZ194">
            <v>1750</v>
          </cell>
          <cell r="CA194">
            <v>0</v>
          </cell>
          <cell r="CB194">
            <v>30000</v>
          </cell>
          <cell r="CC194">
            <v>30000</v>
          </cell>
          <cell r="CD194">
            <v>0</v>
          </cell>
          <cell r="CE194">
            <v>0</v>
          </cell>
          <cell r="CF194">
            <v>30000</v>
          </cell>
          <cell r="CG194">
            <v>0</v>
          </cell>
          <cell r="CH194">
            <v>30000</v>
          </cell>
          <cell r="CI194">
            <v>0</v>
          </cell>
          <cell r="CJ194">
            <v>0</v>
          </cell>
          <cell r="CK194">
            <v>10000</v>
          </cell>
          <cell r="CL194">
            <v>3800</v>
          </cell>
          <cell r="CM194">
            <v>30000</v>
          </cell>
          <cell r="CN194">
            <v>30000</v>
          </cell>
          <cell r="CO194">
            <v>0</v>
          </cell>
          <cell r="CP194">
            <v>0</v>
          </cell>
          <cell r="CQ194">
            <v>0</v>
          </cell>
          <cell r="CR194">
            <v>30000</v>
          </cell>
          <cell r="CS194">
            <v>0</v>
          </cell>
          <cell r="CT194">
            <v>0</v>
          </cell>
          <cell r="CU194">
            <v>0</v>
          </cell>
          <cell r="CV194">
            <v>0</v>
          </cell>
          <cell r="CW194">
            <v>10000</v>
          </cell>
          <cell r="CX194">
            <v>35265</v>
          </cell>
          <cell r="CY194">
            <v>0</v>
          </cell>
          <cell r="CZ194">
            <v>-9023</v>
          </cell>
          <cell r="DA194">
            <v>30000</v>
          </cell>
          <cell r="DB194">
            <v>0</v>
          </cell>
          <cell r="DC194">
            <v>7558</v>
          </cell>
          <cell r="DD194">
            <v>30000</v>
          </cell>
          <cell r="DE194">
            <v>0</v>
          </cell>
          <cell r="DF194">
            <v>0</v>
          </cell>
          <cell r="DG194">
            <v>213644.64</v>
          </cell>
          <cell r="DH194">
            <v>317444.64</v>
          </cell>
        </row>
        <row r="195">
          <cell r="A195" t="str">
            <v>6100040</v>
          </cell>
          <cell r="B195" t="str">
            <v>6100040</v>
          </cell>
          <cell r="C195" t="str">
            <v>Consultants-Engineer</v>
          </cell>
          <cell r="D195">
            <v>193411.6</v>
          </cell>
          <cell r="E195">
            <v>270286.96000000002</v>
          </cell>
          <cell r="F195">
            <v>189276.84</v>
          </cell>
          <cell r="G195">
            <v>462947.75</v>
          </cell>
          <cell r="H195">
            <v>114333.84</v>
          </cell>
          <cell r="I195">
            <v>206034.03</v>
          </cell>
          <cell r="J195">
            <v>425733.58</v>
          </cell>
          <cell r="K195">
            <v>368519.04</v>
          </cell>
          <cell r="L195">
            <v>348022.94</v>
          </cell>
          <cell r="M195">
            <v>285531.59999999998</v>
          </cell>
          <cell r="N195">
            <v>300091.75</v>
          </cell>
          <cell r="O195">
            <v>121333.79</v>
          </cell>
          <cell r="P195">
            <v>64523.71</v>
          </cell>
          <cell r="Q195">
            <v>258662.73</v>
          </cell>
          <cell r="R195">
            <v>242012.41</v>
          </cell>
          <cell r="S195">
            <v>457191.93</v>
          </cell>
          <cell r="T195">
            <v>74220.399999999994</v>
          </cell>
          <cell r="U195">
            <v>181863.44</v>
          </cell>
          <cell r="V195">
            <v>834530.41</v>
          </cell>
          <cell r="W195">
            <v>209979.75</v>
          </cell>
          <cell r="X195">
            <v>237637.39</v>
          </cell>
          <cell r="Y195">
            <v>153893.06</v>
          </cell>
          <cell r="Z195">
            <v>334500.55</v>
          </cell>
          <cell r="AA195">
            <v>428143.57</v>
          </cell>
          <cell r="AB195">
            <v>219497.06</v>
          </cell>
          <cell r="AC195">
            <v>260557.84</v>
          </cell>
          <cell r="AD195">
            <v>240424.13</v>
          </cell>
          <cell r="AE195">
            <v>184358.92</v>
          </cell>
          <cell r="AF195">
            <v>216225.23</v>
          </cell>
          <cell r="AG195">
            <v>409770.36</v>
          </cell>
          <cell r="AH195">
            <v>151240.91</v>
          </cell>
          <cell r="AI195">
            <v>118754.52</v>
          </cell>
          <cell r="AJ195">
            <v>290153.44</v>
          </cell>
          <cell r="AK195">
            <v>239671.67999999999</v>
          </cell>
          <cell r="AL195">
            <v>306678.61</v>
          </cell>
          <cell r="AM195">
            <v>413187.25</v>
          </cell>
          <cell r="AN195">
            <v>24984.85</v>
          </cell>
          <cell r="AO195">
            <v>36413.18</v>
          </cell>
          <cell r="AP195">
            <v>-190477.71</v>
          </cell>
          <cell r="AQ195">
            <v>11800</v>
          </cell>
          <cell r="AR195">
            <v>277272.51</v>
          </cell>
          <cell r="AS195">
            <v>95593.85</v>
          </cell>
          <cell r="AT195">
            <v>30562.85</v>
          </cell>
          <cell r="AU195">
            <v>121412.5</v>
          </cell>
          <cell r="AV195">
            <v>5730</v>
          </cell>
          <cell r="AW195">
            <v>15045</v>
          </cell>
          <cell r="AX195">
            <v>45421.7</v>
          </cell>
          <cell r="AY195">
            <v>40180</v>
          </cell>
          <cell r="AZ195">
            <v>8515</v>
          </cell>
          <cell r="BA195">
            <v>177634.5</v>
          </cell>
          <cell r="BB195">
            <v>913228.80000000005</v>
          </cell>
          <cell r="BC195">
            <v>339923.7</v>
          </cell>
          <cell r="BD195">
            <v>563637.81000000006</v>
          </cell>
          <cell r="BE195">
            <v>312114.76</v>
          </cell>
          <cell r="BF195">
            <v>207672.43</v>
          </cell>
          <cell r="BG195">
            <v>587282.57999999996</v>
          </cell>
          <cell r="BH195">
            <v>410061.06</v>
          </cell>
          <cell r="BI195">
            <v>514822.42</v>
          </cell>
          <cell r="BJ195">
            <v>98387.22</v>
          </cell>
          <cell r="BK195">
            <v>252328.18</v>
          </cell>
          <cell r="BL195">
            <v>278857.25</v>
          </cell>
          <cell r="BM195">
            <v>113183.13</v>
          </cell>
          <cell r="BN195">
            <v>161748.42000000001</v>
          </cell>
          <cell r="BO195">
            <v>250713.8</v>
          </cell>
          <cell r="BP195">
            <v>229581.81</v>
          </cell>
          <cell r="BQ195">
            <v>181653.25</v>
          </cell>
          <cell r="BR195">
            <v>234848.5</v>
          </cell>
          <cell r="BS195">
            <v>194815.98</v>
          </cell>
          <cell r="BT195">
            <v>95732.88</v>
          </cell>
          <cell r="BU195">
            <v>302817.65999999997</v>
          </cell>
          <cell r="BV195">
            <v>73051.47</v>
          </cell>
          <cell r="BW195">
            <v>283279.55</v>
          </cell>
          <cell r="BX195">
            <v>213638.75</v>
          </cell>
          <cell r="BY195">
            <v>689452.8</v>
          </cell>
          <cell r="BZ195">
            <v>258382.38</v>
          </cell>
          <cell r="CA195">
            <v>217796.55</v>
          </cell>
          <cell r="CB195">
            <v>309890.38</v>
          </cell>
          <cell r="CC195">
            <v>333321.46999999997</v>
          </cell>
          <cell r="CD195">
            <v>234343.39</v>
          </cell>
          <cell r="CE195">
            <v>236341.44</v>
          </cell>
          <cell r="CF195">
            <v>494692.62</v>
          </cell>
          <cell r="CG195">
            <v>502522.32</v>
          </cell>
          <cell r="CH195">
            <v>234458.04</v>
          </cell>
          <cell r="CI195">
            <v>149804.38</v>
          </cell>
          <cell r="CJ195">
            <v>37298.1</v>
          </cell>
          <cell r="CK195">
            <v>273016.31</v>
          </cell>
          <cell r="CL195">
            <v>196232.25</v>
          </cell>
          <cell r="CM195">
            <v>264333.08</v>
          </cell>
          <cell r="CN195">
            <v>206883.1</v>
          </cell>
          <cell r="CO195">
            <v>298923.94</v>
          </cell>
          <cell r="CP195">
            <v>189362.46</v>
          </cell>
          <cell r="CQ195">
            <v>47546.04</v>
          </cell>
          <cell r="CR195">
            <v>231791.8</v>
          </cell>
          <cell r="CS195">
            <v>442282.9</v>
          </cell>
          <cell r="CT195">
            <v>-80442.98</v>
          </cell>
          <cell r="CU195">
            <v>111208.98</v>
          </cell>
          <cell r="CV195">
            <v>156975.22</v>
          </cell>
          <cell r="CW195">
            <v>160571.28</v>
          </cell>
          <cell r="CX195">
            <v>386139.9</v>
          </cell>
          <cell r="CY195">
            <v>289794.27</v>
          </cell>
          <cell r="CZ195">
            <v>264655.59000000003</v>
          </cell>
          <cell r="DA195">
            <v>581455.06999999995</v>
          </cell>
          <cell r="DB195">
            <v>229518.21</v>
          </cell>
          <cell r="DC195">
            <v>352529.57</v>
          </cell>
          <cell r="DD195">
            <v>117742.63</v>
          </cell>
          <cell r="DE195">
            <v>173001.39</v>
          </cell>
          <cell r="DF195">
            <v>41760.75</v>
          </cell>
          <cell r="DG195">
            <v>161140.15</v>
          </cell>
          <cell r="DH195">
            <v>2915284.03</v>
          </cell>
        </row>
        <row r="196">
          <cell r="A196" t="str">
            <v>6100050</v>
          </cell>
          <cell r="B196" t="str">
            <v>6100050</v>
          </cell>
          <cell r="C196" t="str">
            <v>Consultants-Environ</v>
          </cell>
          <cell r="D196">
            <v>129716.17</v>
          </cell>
          <cell r="E196">
            <v>1955357.08</v>
          </cell>
          <cell r="F196">
            <v>77191.42</v>
          </cell>
          <cell r="G196">
            <v>228856.14</v>
          </cell>
          <cell r="H196">
            <v>858214.24</v>
          </cell>
          <cell r="I196">
            <v>998317.48</v>
          </cell>
          <cell r="J196">
            <v>1299394.5900000001</v>
          </cell>
          <cell r="K196">
            <v>1622333.24</v>
          </cell>
          <cell r="L196">
            <v>131580.22</v>
          </cell>
          <cell r="M196">
            <v>42147.98</v>
          </cell>
          <cell r="N196">
            <v>189246.58</v>
          </cell>
          <cell r="O196">
            <v>333368.74</v>
          </cell>
          <cell r="P196">
            <v>181395.55</v>
          </cell>
          <cell r="Q196">
            <v>31888.32</v>
          </cell>
          <cell r="R196">
            <v>221713.32</v>
          </cell>
          <cell r="S196">
            <v>211261.57</v>
          </cell>
          <cell r="T196">
            <v>152885.68</v>
          </cell>
          <cell r="U196">
            <v>489794.93</v>
          </cell>
          <cell r="V196">
            <v>208667.6</v>
          </cell>
          <cell r="W196">
            <v>379214.82</v>
          </cell>
          <cell r="X196">
            <v>124282.65</v>
          </cell>
          <cell r="Y196">
            <v>66003.38</v>
          </cell>
          <cell r="Z196">
            <v>533260.81999999995</v>
          </cell>
          <cell r="AA196">
            <v>114012.01</v>
          </cell>
          <cell r="AB196">
            <v>204574.16</v>
          </cell>
          <cell r="AC196">
            <v>72539.100000000006</v>
          </cell>
          <cell r="AD196">
            <v>200739.56</v>
          </cell>
          <cell r="AE196">
            <v>29997.48</v>
          </cell>
          <cell r="AF196">
            <v>74341.919999999998</v>
          </cell>
          <cell r="AG196">
            <v>356241.2</v>
          </cell>
          <cell r="AH196">
            <v>50509.37</v>
          </cell>
          <cell r="AI196">
            <v>74945.16</v>
          </cell>
          <cell r="AJ196">
            <v>1797.77</v>
          </cell>
          <cell r="AK196">
            <v>58467.58</v>
          </cell>
          <cell r="AL196">
            <v>151623.85</v>
          </cell>
          <cell r="AM196">
            <v>305700.3</v>
          </cell>
          <cell r="AN196">
            <v>586024.38</v>
          </cell>
          <cell r="AO196">
            <v>3205.53</v>
          </cell>
          <cell r="AP196">
            <v>69474.820000000007</v>
          </cell>
          <cell r="AQ196">
            <v>108107.49</v>
          </cell>
          <cell r="AR196">
            <v>258994.19</v>
          </cell>
          <cell r="AS196">
            <v>49337.64</v>
          </cell>
          <cell r="AT196">
            <v>90685.74</v>
          </cell>
          <cell r="AU196">
            <v>517223.88</v>
          </cell>
          <cell r="AV196">
            <v>100778.56</v>
          </cell>
          <cell r="AW196">
            <v>109151.75</v>
          </cell>
          <cell r="AX196">
            <v>69737.95</v>
          </cell>
          <cell r="AY196">
            <v>20507.52</v>
          </cell>
          <cell r="AZ196">
            <v>284685.90000000002</v>
          </cell>
          <cell r="BA196">
            <v>31740.33</v>
          </cell>
          <cell r="BB196">
            <v>58562.78</v>
          </cell>
          <cell r="BC196">
            <v>164674.79999999999</v>
          </cell>
          <cell r="BD196">
            <v>42988.74</v>
          </cell>
          <cell r="BE196">
            <v>58078.12</v>
          </cell>
          <cell r="BF196">
            <v>200962.58</v>
          </cell>
          <cell r="BG196">
            <v>172512.06</v>
          </cell>
          <cell r="BH196">
            <v>90735.039999999994</v>
          </cell>
          <cell r="BI196">
            <v>181838.78</v>
          </cell>
          <cell r="BJ196">
            <v>123471.97</v>
          </cell>
          <cell r="BK196">
            <v>91266.7</v>
          </cell>
          <cell r="BL196">
            <v>28158.85</v>
          </cell>
          <cell r="BM196">
            <v>775041.24</v>
          </cell>
          <cell r="BN196">
            <v>84787.67</v>
          </cell>
          <cell r="BO196">
            <v>536350.1</v>
          </cell>
          <cell r="BP196">
            <v>632372.04</v>
          </cell>
          <cell r="BQ196">
            <v>692760.87</v>
          </cell>
          <cell r="BR196">
            <v>42999.29</v>
          </cell>
          <cell r="BS196">
            <v>75734.070000000007</v>
          </cell>
          <cell r="BT196">
            <v>921303.44</v>
          </cell>
          <cell r="BU196">
            <v>29664</v>
          </cell>
          <cell r="BV196">
            <v>435931.1</v>
          </cell>
          <cell r="BW196">
            <v>363576.74</v>
          </cell>
          <cell r="BX196">
            <v>24458.73</v>
          </cell>
          <cell r="BY196">
            <v>57751.95</v>
          </cell>
          <cell r="BZ196">
            <v>258628.22</v>
          </cell>
          <cell r="CA196">
            <v>0</v>
          </cell>
          <cell r="CB196">
            <v>359648.9</v>
          </cell>
          <cell r="CC196">
            <v>186297.98</v>
          </cell>
          <cell r="CD196">
            <v>250595.17</v>
          </cell>
          <cell r="CE196">
            <v>291151.3</v>
          </cell>
          <cell r="CF196">
            <v>422892.56</v>
          </cell>
          <cell r="CG196">
            <v>740064.38</v>
          </cell>
          <cell r="CH196">
            <v>1641357.25</v>
          </cell>
          <cell r="CI196">
            <v>777960.14</v>
          </cell>
          <cell r="CJ196">
            <v>19328.2</v>
          </cell>
          <cell r="CK196">
            <v>880376.74</v>
          </cell>
          <cell r="CL196">
            <v>581953.62</v>
          </cell>
          <cell r="CM196">
            <v>37114.35</v>
          </cell>
          <cell r="CN196">
            <v>1522226.35</v>
          </cell>
          <cell r="CO196">
            <v>65778.850000000006</v>
          </cell>
          <cell r="CP196">
            <v>862443.96</v>
          </cell>
          <cell r="CQ196">
            <v>20954</v>
          </cell>
          <cell r="CR196">
            <v>189715.34</v>
          </cell>
          <cell r="CS196">
            <v>133048.85999999999</v>
          </cell>
          <cell r="CT196">
            <v>1045426.93</v>
          </cell>
          <cell r="CU196">
            <v>199850.6</v>
          </cell>
          <cell r="CV196">
            <v>214155.11</v>
          </cell>
          <cell r="CW196">
            <v>83591.789999999994</v>
          </cell>
          <cell r="CX196">
            <v>57896.46</v>
          </cell>
          <cell r="CY196">
            <v>46683.59</v>
          </cell>
          <cell r="CZ196">
            <v>513774.68</v>
          </cell>
          <cell r="DA196">
            <v>77348.87</v>
          </cell>
          <cell r="DB196">
            <v>11848</v>
          </cell>
          <cell r="DC196">
            <v>58061.69</v>
          </cell>
          <cell r="DD196">
            <v>124184.36</v>
          </cell>
          <cell r="DE196">
            <v>69439.48</v>
          </cell>
          <cell r="DF196">
            <v>28108.39</v>
          </cell>
          <cell r="DG196">
            <v>84949.99</v>
          </cell>
          <cell r="DH196">
            <v>1370042.41</v>
          </cell>
        </row>
        <row r="197">
          <cell r="A197" t="str">
            <v>6100060</v>
          </cell>
          <cell r="B197" t="str">
            <v>6100060</v>
          </cell>
          <cell r="C197" t="str">
            <v>Consultants-Legal</v>
          </cell>
          <cell r="D197">
            <v>-50504.84</v>
          </cell>
          <cell r="E197">
            <v>87896.37</v>
          </cell>
          <cell r="F197">
            <v>-300957.75</v>
          </cell>
          <cell r="G197">
            <v>257024.83</v>
          </cell>
          <cell r="H197">
            <v>65548.11</v>
          </cell>
          <cell r="I197">
            <v>243673.5</v>
          </cell>
          <cell r="J197">
            <v>72122.45</v>
          </cell>
          <cell r="K197">
            <v>69891.490000000005</v>
          </cell>
          <cell r="L197">
            <v>110381.53</v>
          </cell>
          <cell r="M197">
            <v>140020.59</v>
          </cell>
          <cell r="N197">
            <v>72732.179999999993</v>
          </cell>
          <cell r="O197">
            <v>423205.6</v>
          </cell>
          <cell r="P197">
            <v>-68998.100000000006</v>
          </cell>
          <cell r="Q197">
            <v>176522.95</v>
          </cell>
          <cell r="R197">
            <v>123054.85</v>
          </cell>
          <cell r="S197">
            <v>80846.31</v>
          </cell>
          <cell r="T197">
            <v>148904.49</v>
          </cell>
          <cell r="U197">
            <v>214373.98</v>
          </cell>
          <cell r="V197">
            <v>196648.99</v>
          </cell>
          <cell r="W197">
            <v>134652.95000000001</v>
          </cell>
          <cell r="X197">
            <v>254187.78</v>
          </cell>
          <cell r="Y197">
            <v>94728.54</v>
          </cell>
          <cell r="Z197">
            <v>364653.57</v>
          </cell>
          <cell r="AA197">
            <v>-39685.449999999997</v>
          </cell>
          <cell r="AB197">
            <v>-74672.17</v>
          </cell>
          <cell r="AC197">
            <v>123922.24000000001</v>
          </cell>
          <cell r="AD197">
            <v>147924.1</v>
          </cell>
          <cell r="AE197">
            <v>-80116.710000000006</v>
          </cell>
          <cell r="AF197">
            <v>9273.32</v>
          </cell>
          <cell r="AG197">
            <v>494172.71</v>
          </cell>
          <cell r="AH197">
            <v>-149632.65</v>
          </cell>
          <cell r="AI197">
            <v>137096.49</v>
          </cell>
          <cell r="AJ197">
            <v>37906.94</v>
          </cell>
          <cell r="AK197">
            <v>236430.53</v>
          </cell>
          <cell r="AL197">
            <v>97266</v>
          </cell>
          <cell r="AM197">
            <v>607165.5</v>
          </cell>
          <cell r="AN197">
            <v>-201294.07</v>
          </cell>
          <cell r="AO197">
            <v>79650.34</v>
          </cell>
          <cell r="AP197">
            <v>65202.39</v>
          </cell>
          <cell r="AQ197">
            <v>117748.44</v>
          </cell>
          <cell r="AR197">
            <v>156934.1</v>
          </cell>
          <cell r="AS197">
            <v>110646.1</v>
          </cell>
          <cell r="AT197">
            <v>32270.91</v>
          </cell>
          <cell r="AU197">
            <v>-146808</v>
          </cell>
          <cell r="AV197">
            <v>130516.12</v>
          </cell>
          <cell r="AW197">
            <v>227103.09</v>
          </cell>
          <cell r="AX197">
            <v>50583.83</v>
          </cell>
          <cell r="AY197">
            <v>428949.6</v>
          </cell>
          <cell r="AZ197">
            <v>69639.45</v>
          </cell>
          <cell r="BA197">
            <v>58680.57</v>
          </cell>
          <cell r="BB197">
            <v>208292.87</v>
          </cell>
          <cell r="BC197">
            <v>121078.01</v>
          </cell>
          <cell r="BD197">
            <v>316921.19</v>
          </cell>
          <cell r="BE197">
            <v>86857.13</v>
          </cell>
          <cell r="BF197">
            <v>168311.6</v>
          </cell>
          <cell r="BG197">
            <v>-207241.15</v>
          </cell>
          <cell r="BH197">
            <v>55496.13</v>
          </cell>
          <cell r="BI197">
            <v>309295.39</v>
          </cell>
          <cell r="BJ197">
            <v>152309.17000000001</v>
          </cell>
          <cell r="BK197">
            <v>403099.83</v>
          </cell>
          <cell r="BL197">
            <v>-120945.99</v>
          </cell>
          <cell r="BM197">
            <v>231648.04</v>
          </cell>
          <cell r="BN197">
            <v>216772.39</v>
          </cell>
          <cell r="BO197">
            <v>151511.78</v>
          </cell>
          <cell r="BP197">
            <v>329048.71999999997</v>
          </cell>
          <cell r="BQ197">
            <v>-190307.1</v>
          </cell>
          <cell r="BR197">
            <v>267697.86</v>
          </cell>
          <cell r="BS197">
            <v>222748.94</v>
          </cell>
          <cell r="BT197">
            <v>277356.76</v>
          </cell>
          <cell r="BU197">
            <v>412756.87</v>
          </cell>
          <cell r="BV197">
            <v>531455.93999999994</v>
          </cell>
          <cell r="BW197">
            <v>953867.28</v>
          </cell>
          <cell r="BX197">
            <v>-267571.92</v>
          </cell>
          <cell r="BY197">
            <v>176967.77</v>
          </cell>
          <cell r="BZ197">
            <v>-408578.89</v>
          </cell>
          <cell r="CA197">
            <v>517538.04</v>
          </cell>
          <cell r="CB197">
            <v>153167.95000000001</v>
          </cell>
          <cell r="CC197">
            <v>469452.77</v>
          </cell>
          <cell r="CD197">
            <v>1059724.6000000001</v>
          </cell>
          <cell r="CE197">
            <v>606953.93999999994</v>
          </cell>
          <cell r="CF197">
            <v>281322.15000000002</v>
          </cell>
          <cell r="CG197">
            <v>481714.14</v>
          </cell>
          <cell r="CH197">
            <v>269922.09000000003</v>
          </cell>
          <cell r="CI197">
            <v>238372.01</v>
          </cell>
          <cell r="CJ197">
            <v>-434302.52</v>
          </cell>
          <cell r="CK197">
            <v>219764.49</v>
          </cell>
          <cell r="CL197">
            <v>239507.01</v>
          </cell>
          <cell r="CM197">
            <v>18038.57</v>
          </cell>
          <cell r="CN197">
            <v>306358.11</v>
          </cell>
          <cell r="CO197">
            <v>-89332.51</v>
          </cell>
          <cell r="CP197">
            <v>253770.97</v>
          </cell>
          <cell r="CQ197">
            <v>339037.47</v>
          </cell>
          <cell r="CR197">
            <v>-13974.11</v>
          </cell>
          <cell r="CS197">
            <v>110227.45</v>
          </cell>
          <cell r="CT197">
            <v>250550.05</v>
          </cell>
          <cell r="CU197">
            <v>813785.21</v>
          </cell>
          <cell r="CV197">
            <v>-612444.18000000005</v>
          </cell>
          <cell r="CW197">
            <v>221311.3</v>
          </cell>
          <cell r="CX197">
            <v>326588.62</v>
          </cell>
          <cell r="CY197">
            <v>75897.37</v>
          </cell>
          <cell r="CZ197">
            <v>230482.24</v>
          </cell>
          <cell r="DA197">
            <v>45617.94</v>
          </cell>
          <cell r="DB197">
            <v>604354.35</v>
          </cell>
          <cell r="DC197">
            <v>-268001.33</v>
          </cell>
          <cell r="DD197">
            <v>-826099.8</v>
          </cell>
          <cell r="DE197">
            <v>3930317.65</v>
          </cell>
          <cell r="DF197">
            <v>-407360.08</v>
          </cell>
          <cell r="DG197">
            <v>1087124.8600000001</v>
          </cell>
          <cell r="DH197">
            <v>4407788.9399999995</v>
          </cell>
        </row>
        <row r="198">
          <cell r="A198" t="str">
            <v>6100070</v>
          </cell>
          <cell r="B198" t="str">
            <v>6100070</v>
          </cell>
          <cell r="C198" t="str">
            <v>Consultants-Mgmt</v>
          </cell>
          <cell r="D198">
            <v>0</v>
          </cell>
          <cell r="E198">
            <v>0</v>
          </cell>
          <cell r="F198">
            <v>0</v>
          </cell>
          <cell r="G198">
            <v>0</v>
          </cell>
          <cell r="H198">
            <v>0</v>
          </cell>
          <cell r="I198">
            <v>0</v>
          </cell>
          <cell r="J198">
            <v>0</v>
          </cell>
          <cell r="K198">
            <v>0</v>
          </cell>
          <cell r="L198">
            <v>19590.32</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13004.29</v>
          </cell>
          <cell r="AU198">
            <v>1000</v>
          </cell>
          <cell r="AV198">
            <v>0</v>
          </cell>
          <cell r="AW198">
            <v>0</v>
          </cell>
          <cell r="AX198">
            <v>0</v>
          </cell>
          <cell r="AY198">
            <v>74230.05</v>
          </cell>
          <cell r="AZ198">
            <v>-1400</v>
          </cell>
          <cell r="BA198">
            <v>0</v>
          </cell>
          <cell r="BB198">
            <v>0</v>
          </cell>
          <cell r="BC198">
            <v>150000</v>
          </cell>
          <cell r="BD198">
            <v>19563.68</v>
          </cell>
          <cell r="BE198">
            <v>13650</v>
          </cell>
          <cell r="BF198">
            <v>29056.53</v>
          </cell>
          <cell r="BG198">
            <v>-13650</v>
          </cell>
          <cell r="BH198">
            <v>30837.5</v>
          </cell>
          <cell r="BI198">
            <v>10456.25</v>
          </cell>
          <cell r="BJ198">
            <v>0</v>
          </cell>
          <cell r="BK198">
            <v>6676.71</v>
          </cell>
          <cell r="BL198">
            <v>-6676.71</v>
          </cell>
          <cell r="BM198">
            <v>9839.2099999999991</v>
          </cell>
          <cell r="BN198">
            <v>0</v>
          </cell>
          <cell r="BO198">
            <v>0</v>
          </cell>
          <cell r="BP198">
            <v>0</v>
          </cell>
          <cell r="BQ198">
            <v>0</v>
          </cell>
          <cell r="BR198">
            <v>0</v>
          </cell>
          <cell r="BS198">
            <v>0</v>
          </cell>
          <cell r="BT198">
            <v>0</v>
          </cell>
          <cell r="BU198">
            <v>0</v>
          </cell>
          <cell r="BV198">
            <v>1308</v>
          </cell>
          <cell r="BW198">
            <v>13692</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row>
        <row r="199">
          <cell r="A199" t="str">
            <v>6100080</v>
          </cell>
          <cell r="B199" t="str">
            <v>6100080</v>
          </cell>
          <cell r="C199" t="str">
            <v>Consultants-Other</v>
          </cell>
          <cell r="D199">
            <v>27256</v>
          </cell>
          <cell r="E199">
            <v>33317.81</v>
          </cell>
          <cell r="F199">
            <v>60728.57</v>
          </cell>
          <cell r="G199">
            <v>115212.35</v>
          </cell>
          <cell r="H199">
            <v>231694.48</v>
          </cell>
          <cell r="I199">
            <v>122798</v>
          </cell>
          <cell r="J199">
            <v>-55639.92</v>
          </cell>
          <cell r="K199">
            <v>79008.259999999995</v>
          </cell>
          <cell r="L199">
            <v>60185.84</v>
          </cell>
          <cell r="M199">
            <v>188730</v>
          </cell>
          <cell r="N199">
            <v>17877.259999999998</v>
          </cell>
          <cell r="O199">
            <v>91928.86</v>
          </cell>
          <cell r="P199">
            <v>108757.17</v>
          </cell>
          <cell r="Q199">
            <v>124027.64</v>
          </cell>
          <cell r="R199">
            <v>136772.04</v>
          </cell>
          <cell r="S199">
            <v>55429.04</v>
          </cell>
          <cell r="T199">
            <v>10079.6</v>
          </cell>
          <cell r="U199">
            <v>49301.56</v>
          </cell>
          <cell r="V199">
            <v>58012.57</v>
          </cell>
          <cell r="W199">
            <v>115758.43</v>
          </cell>
          <cell r="X199">
            <v>48276.74</v>
          </cell>
          <cell r="Y199">
            <v>80303.899999999994</v>
          </cell>
          <cell r="Z199">
            <v>150614.79</v>
          </cell>
          <cell r="AA199">
            <v>394282.55</v>
          </cell>
          <cell r="AB199">
            <v>12270.06</v>
          </cell>
          <cell r="AC199">
            <v>389445.01</v>
          </cell>
          <cell r="AD199">
            <v>29020.28</v>
          </cell>
          <cell r="AE199">
            <v>27989.52</v>
          </cell>
          <cell r="AF199">
            <v>45012.55</v>
          </cell>
          <cell r="AG199">
            <v>4418.3</v>
          </cell>
          <cell r="AH199">
            <v>10001.41</v>
          </cell>
          <cell r="AI199">
            <v>25430.5</v>
          </cell>
          <cell r="AJ199">
            <v>83383.070000000007</v>
          </cell>
          <cell r="AK199">
            <v>11122.77</v>
          </cell>
          <cell r="AL199">
            <v>12486.5</v>
          </cell>
          <cell r="AM199">
            <v>93608.44</v>
          </cell>
          <cell r="AN199">
            <v>3556.3</v>
          </cell>
          <cell r="AO199">
            <v>65728.92</v>
          </cell>
          <cell r="AP199">
            <v>22926.42</v>
          </cell>
          <cell r="AQ199">
            <v>70372.66</v>
          </cell>
          <cell r="AR199">
            <v>234687.03</v>
          </cell>
          <cell r="AS199">
            <v>26087.4</v>
          </cell>
          <cell r="AT199">
            <v>8790.83</v>
          </cell>
          <cell r="AU199">
            <v>15156.19</v>
          </cell>
          <cell r="AV199">
            <v>19100.23</v>
          </cell>
          <cell r="AW199">
            <v>8994.7099999999991</v>
          </cell>
          <cell r="AX199">
            <v>56651.82</v>
          </cell>
          <cell r="AY199">
            <v>192780.47</v>
          </cell>
          <cell r="AZ199">
            <v>62054.79</v>
          </cell>
          <cell r="BA199">
            <v>31527.65</v>
          </cell>
          <cell r="BB199">
            <v>416917.19</v>
          </cell>
          <cell r="BC199">
            <v>34962.58</v>
          </cell>
          <cell r="BD199">
            <v>71805.919999999998</v>
          </cell>
          <cell r="BE199">
            <v>41747.96</v>
          </cell>
          <cell r="BF199">
            <v>23250.69</v>
          </cell>
          <cell r="BG199">
            <v>25772.86</v>
          </cell>
          <cell r="BH199">
            <v>30971.63</v>
          </cell>
          <cell r="BI199">
            <v>715102.95</v>
          </cell>
          <cell r="BJ199">
            <v>301488.46999999997</v>
          </cell>
          <cell r="BK199">
            <v>301487.35999999999</v>
          </cell>
          <cell r="BL199">
            <v>1168071</v>
          </cell>
          <cell r="BM199">
            <v>574700.93999999994</v>
          </cell>
          <cell r="BN199">
            <v>325404.98</v>
          </cell>
          <cell r="BO199">
            <v>962313.79</v>
          </cell>
          <cell r="BP199">
            <v>1289557.6399999999</v>
          </cell>
          <cell r="BQ199">
            <v>274105.12</v>
          </cell>
          <cell r="BR199">
            <v>244470.21</v>
          </cell>
          <cell r="BS199">
            <v>872356.61</v>
          </cell>
          <cell r="BT199">
            <v>356211.23</v>
          </cell>
          <cell r="BU199">
            <v>348385.46</v>
          </cell>
          <cell r="BV199">
            <v>1189782.82</v>
          </cell>
          <cell r="BW199">
            <v>745233.88</v>
          </cell>
          <cell r="BX199">
            <v>441984.22</v>
          </cell>
          <cell r="BY199">
            <v>1313292.3999999999</v>
          </cell>
          <cell r="BZ199">
            <v>601362.24</v>
          </cell>
          <cell r="CA199">
            <v>1117504.05</v>
          </cell>
          <cell r="CB199">
            <v>227593.48</v>
          </cell>
          <cell r="CC199">
            <v>343748.83</v>
          </cell>
          <cell r="CD199">
            <v>381874</v>
          </cell>
          <cell r="CE199">
            <v>88077.22</v>
          </cell>
          <cell r="CF199">
            <v>120374.41</v>
          </cell>
          <cell r="CG199">
            <v>201578.55</v>
          </cell>
          <cell r="CH199">
            <v>227348.87</v>
          </cell>
          <cell r="CI199">
            <v>126515.26</v>
          </cell>
          <cell r="CJ199">
            <v>-272713.61</v>
          </cell>
          <cell r="CK199">
            <v>432123.07</v>
          </cell>
          <cell r="CL199">
            <v>159496.67000000001</v>
          </cell>
          <cell r="CM199">
            <v>916021.66</v>
          </cell>
          <cell r="CN199">
            <v>273136.03000000003</v>
          </cell>
          <cell r="CO199">
            <v>1058395.69</v>
          </cell>
          <cell r="CP199">
            <v>171373.1</v>
          </cell>
          <cell r="CQ199">
            <v>833528.7</v>
          </cell>
          <cell r="CR199">
            <v>1797798.98</v>
          </cell>
          <cell r="CS199">
            <v>769256.85</v>
          </cell>
          <cell r="CT199">
            <v>798121.51</v>
          </cell>
          <cell r="CU199">
            <v>1150678.0900000001</v>
          </cell>
          <cell r="CV199">
            <v>903299.03</v>
          </cell>
          <cell r="CW199">
            <v>930993.15</v>
          </cell>
          <cell r="CX199">
            <v>1069733.6299999999</v>
          </cell>
          <cell r="CY199">
            <v>1328077.92</v>
          </cell>
          <cell r="CZ199">
            <v>1719596.09</v>
          </cell>
          <cell r="DA199">
            <v>1206053.45</v>
          </cell>
          <cell r="DB199">
            <v>313616.71999999997</v>
          </cell>
          <cell r="DC199">
            <v>605131.81999999995</v>
          </cell>
          <cell r="DD199">
            <v>377635.43</v>
          </cell>
          <cell r="DE199">
            <v>270296.61</v>
          </cell>
          <cell r="DF199">
            <v>-230669.78</v>
          </cell>
          <cell r="DG199">
            <v>1443048.76</v>
          </cell>
          <cell r="DH199">
            <v>9936812.8300000001</v>
          </cell>
        </row>
        <row r="200">
          <cell r="A200" t="str">
            <v>6100090</v>
          </cell>
          <cell r="B200" t="str">
            <v>6100090</v>
          </cell>
          <cell r="C200" t="str">
            <v>Consultants-Taxes</v>
          </cell>
          <cell r="D200">
            <v>0</v>
          </cell>
          <cell r="E200">
            <v>0</v>
          </cell>
          <cell r="F200">
            <v>4327.07</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row>
        <row r="201">
          <cell r="A201" t="str">
            <v>6100100</v>
          </cell>
          <cell r="B201" t="str">
            <v>6100100</v>
          </cell>
          <cell r="C201" t="str">
            <v>Contractor Services</v>
          </cell>
          <cell r="D201">
            <v>1685726.83</v>
          </cell>
          <cell r="E201">
            <v>5350547.9400000004</v>
          </cell>
          <cell r="F201">
            <v>4563537.0199999996</v>
          </cell>
          <cell r="G201">
            <v>5464513.3499999996</v>
          </cell>
          <cell r="H201">
            <v>3432858.86</v>
          </cell>
          <cell r="I201">
            <v>4733792.83</v>
          </cell>
          <cell r="J201">
            <v>4415239.3499999996</v>
          </cell>
          <cell r="K201">
            <v>5688508.5700000003</v>
          </cell>
          <cell r="L201">
            <v>5125766.07</v>
          </cell>
          <cell r="M201">
            <v>4617691.24</v>
          </cell>
          <cell r="N201">
            <v>3550918.5</v>
          </cell>
          <cell r="O201">
            <v>6134379.9699999997</v>
          </cell>
          <cell r="P201">
            <v>4152922.17</v>
          </cell>
          <cell r="Q201">
            <v>3797511.3</v>
          </cell>
          <cell r="R201">
            <v>4868345.0999999996</v>
          </cell>
          <cell r="S201">
            <v>3750571.99</v>
          </cell>
          <cell r="T201">
            <v>3735523.47</v>
          </cell>
          <cell r="U201">
            <v>6015724.8899999997</v>
          </cell>
          <cell r="V201">
            <v>4778624.1399999997</v>
          </cell>
          <cell r="W201">
            <v>3613756.87</v>
          </cell>
          <cell r="X201">
            <v>4620176.9400000004</v>
          </cell>
          <cell r="Y201">
            <v>5883898.6900000004</v>
          </cell>
          <cell r="Z201">
            <v>6031631.9699999997</v>
          </cell>
          <cell r="AA201">
            <v>7153399.2999999998</v>
          </cell>
          <cell r="AB201">
            <v>3995448.12</v>
          </cell>
          <cell r="AC201">
            <v>11504677.01</v>
          </cell>
          <cell r="AD201">
            <v>7220133.6399999997</v>
          </cell>
          <cell r="AE201">
            <v>5742721.21</v>
          </cell>
          <cell r="AF201">
            <v>8927845.8800000008</v>
          </cell>
          <cell r="AG201">
            <v>10409533.699999999</v>
          </cell>
          <cell r="AH201">
            <v>6866301.6100000003</v>
          </cell>
          <cell r="AI201">
            <v>7776848.5800000001</v>
          </cell>
          <cell r="AJ201">
            <v>7381397.4199999999</v>
          </cell>
          <cell r="AK201">
            <v>6953388.1299999999</v>
          </cell>
          <cell r="AL201">
            <v>9178368.75</v>
          </cell>
          <cell r="AM201">
            <v>11722681.48</v>
          </cell>
          <cell r="AN201">
            <v>4520924.96</v>
          </cell>
          <cell r="AO201">
            <v>7123776.4199999999</v>
          </cell>
          <cell r="AP201">
            <v>6881757.9900000002</v>
          </cell>
          <cell r="AQ201">
            <v>5617183.4699999997</v>
          </cell>
          <cell r="AR201">
            <v>6277465.5499999998</v>
          </cell>
          <cell r="AS201">
            <v>6571939.4400000004</v>
          </cell>
          <cell r="AT201">
            <v>8285044.8799999999</v>
          </cell>
          <cell r="AU201">
            <v>10147018.289999999</v>
          </cell>
          <cell r="AV201">
            <v>5081677.4800000004</v>
          </cell>
          <cell r="AW201">
            <v>8828723.6400000006</v>
          </cell>
          <cell r="AX201">
            <v>8469319.1799999997</v>
          </cell>
          <cell r="AY201">
            <v>9374221.2100000009</v>
          </cell>
          <cell r="AZ201">
            <v>7491679.5300000003</v>
          </cell>
          <cell r="BA201">
            <v>8868415.3499999996</v>
          </cell>
          <cell r="BB201">
            <v>8950461.0800000001</v>
          </cell>
          <cell r="BC201">
            <v>6668131.9299999997</v>
          </cell>
          <cell r="BD201">
            <v>10391864.02</v>
          </cell>
          <cell r="BE201">
            <v>8384423.2400000002</v>
          </cell>
          <cell r="BF201">
            <v>8169371.8200000003</v>
          </cell>
          <cell r="BG201">
            <v>10961835.24</v>
          </cell>
          <cell r="BH201">
            <v>10301311.83</v>
          </cell>
          <cell r="BI201">
            <v>14889014.060000001</v>
          </cell>
          <cell r="BJ201">
            <v>13704093.15</v>
          </cell>
          <cell r="BK201">
            <v>11948367.029999999</v>
          </cell>
          <cell r="BL201">
            <v>12692675.73</v>
          </cell>
          <cell r="BM201">
            <v>9128770.4399999995</v>
          </cell>
          <cell r="BN201">
            <v>11144498.1</v>
          </cell>
          <cell r="BO201">
            <v>8911639.8100000005</v>
          </cell>
          <cell r="BP201">
            <v>10450485.800000001</v>
          </cell>
          <cell r="BQ201">
            <v>13710438.050000001</v>
          </cell>
          <cell r="BR201">
            <v>9870766.5600000005</v>
          </cell>
          <cell r="BS201">
            <v>15857835.449999999</v>
          </cell>
          <cell r="BT201">
            <v>10544474.869999999</v>
          </cell>
          <cell r="BU201">
            <v>13554755.699999999</v>
          </cell>
          <cell r="BV201">
            <v>15184881.109999999</v>
          </cell>
          <cell r="BW201">
            <v>18847956.359999999</v>
          </cell>
          <cell r="BX201">
            <v>18197050.170000002</v>
          </cell>
          <cell r="BY201">
            <v>15655857.91</v>
          </cell>
          <cell r="BZ201">
            <v>18034561.41</v>
          </cell>
          <cell r="CA201">
            <v>19599908.649999999</v>
          </cell>
          <cell r="CB201">
            <v>19025598.68</v>
          </cell>
          <cell r="CC201">
            <v>13116330.57</v>
          </cell>
          <cell r="CD201">
            <v>14901364.48</v>
          </cell>
          <cell r="CE201">
            <v>18569338.469999999</v>
          </cell>
          <cell r="CF201">
            <v>17486742.57</v>
          </cell>
          <cell r="CG201">
            <v>24937660.300000001</v>
          </cell>
          <cell r="CH201">
            <v>20213901.969999999</v>
          </cell>
          <cell r="CI201">
            <v>26129528.07</v>
          </cell>
          <cell r="CJ201">
            <v>16182441.640000001</v>
          </cell>
          <cell r="CK201">
            <v>22008046.260000002</v>
          </cell>
          <cell r="CL201">
            <v>26445109.870000001</v>
          </cell>
          <cell r="CM201">
            <v>16935201.890000001</v>
          </cell>
          <cell r="CN201">
            <v>12263347.58</v>
          </cell>
          <cell r="CO201">
            <v>18140310.710000001</v>
          </cell>
          <cell r="CP201">
            <v>13684608.380000001</v>
          </cell>
          <cell r="CQ201">
            <v>16285214.609999999</v>
          </cell>
          <cell r="CR201">
            <v>20528971.620000001</v>
          </cell>
          <cell r="CS201">
            <v>22365182.550000001</v>
          </cell>
          <cell r="CT201">
            <v>19829113.629999999</v>
          </cell>
          <cell r="CU201">
            <v>14553761.439999999</v>
          </cell>
          <cell r="CV201">
            <v>17306803.920000002</v>
          </cell>
          <cell r="CW201">
            <v>17019094.859999999</v>
          </cell>
          <cell r="CX201">
            <v>16489226.83</v>
          </cell>
          <cell r="CY201">
            <v>20559613.379999999</v>
          </cell>
          <cell r="CZ201">
            <v>17661479.379999999</v>
          </cell>
          <cell r="DA201">
            <v>21435742.780000001</v>
          </cell>
          <cell r="DB201">
            <v>15424523.42</v>
          </cell>
          <cell r="DC201">
            <v>20636784.09</v>
          </cell>
          <cell r="DD201">
            <v>11478467.890000001</v>
          </cell>
          <cell r="DE201">
            <v>15731297.630000001</v>
          </cell>
          <cell r="DF201">
            <v>17169068.93</v>
          </cell>
          <cell r="DG201">
            <v>24077649.440000001</v>
          </cell>
          <cell r="DH201">
            <v>214989752.55000001</v>
          </cell>
        </row>
        <row r="202">
          <cell r="A202" t="str">
            <v>6100110</v>
          </cell>
          <cell r="B202" t="str">
            <v>6100110</v>
          </cell>
          <cell r="C202" t="str">
            <v>Instrument SvcRepair</v>
          </cell>
          <cell r="BC202">
            <v>0</v>
          </cell>
          <cell r="BD202">
            <v>87615</v>
          </cell>
          <cell r="BE202">
            <v>-87464</v>
          </cell>
          <cell r="BF202">
            <v>9</v>
          </cell>
          <cell r="BG202">
            <v>0</v>
          </cell>
          <cell r="BH202">
            <v>0</v>
          </cell>
          <cell r="BI202">
            <v>0</v>
          </cell>
          <cell r="BJ202">
            <v>0</v>
          </cell>
          <cell r="BK202">
            <v>189.13</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1729.9</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884.59</v>
          </cell>
          <cell r="DC202">
            <v>0</v>
          </cell>
          <cell r="DD202">
            <v>0</v>
          </cell>
          <cell r="DE202">
            <v>0</v>
          </cell>
          <cell r="DF202">
            <v>0</v>
          </cell>
          <cell r="DG202">
            <v>0</v>
          </cell>
          <cell r="DH202">
            <v>884.59</v>
          </cell>
        </row>
        <row r="203">
          <cell r="A203" t="str">
            <v>6100120</v>
          </cell>
          <cell r="B203" t="str">
            <v>6100120</v>
          </cell>
          <cell r="C203" t="str">
            <v>Tool Service/Repair</v>
          </cell>
          <cell r="D203">
            <v>0</v>
          </cell>
          <cell r="E203">
            <v>0</v>
          </cell>
          <cell r="F203">
            <v>208.65</v>
          </cell>
          <cell r="G203">
            <v>484.71</v>
          </cell>
          <cell r="H203">
            <v>1277.1099999999999</v>
          </cell>
          <cell r="I203">
            <v>1208</v>
          </cell>
          <cell r="J203">
            <v>0</v>
          </cell>
          <cell r="K203">
            <v>0</v>
          </cell>
          <cell r="L203">
            <v>1008.17</v>
          </cell>
          <cell r="M203">
            <v>0</v>
          </cell>
          <cell r="N203">
            <v>0</v>
          </cell>
          <cell r="O203">
            <v>636.12</v>
          </cell>
          <cell r="P203">
            <v>0</v>
          </cell>
          <cell r="Q203">
            <v>0</v>
          </cell>
          <cell r="R203">
            <v>355.62</v>
          </cell>
          <cell r="S203">
            <v>0</v>
          </cell>
          <cell r="T203">
            <v>0</v>
          </cell>
          <cell r="U203">
            <v>108.88</v>
          </cell>
          <cell r="V203">
            <v>113.1</v>
          </cell>
          <cell r="W203">
            <v>16.010000000000002</v>
          </cell>
          <cell r="X203">
            <v>1673.34</v>
          </cell>
          <cell r="Y203">
            <v>896.91</v>
          </cell>
          <cell r="Z203">
            <v>237.65</v>
          </cell>
          <cell r="AA203">
            <v>289.85000000000002</v>
          </cell>
          <cell r="AB203">
            <v>0</v>
          </cell>
          <cell r="AC203">
            <v>1187.8599999999999</v>
          </cell>
          <cell r="AD203">
            <v>0</v>
          </cell>
          <cell r="AE203">
            <v>0</v>
          </cell>
          <cell r="AF203">
            <v>2255.34</v>
          </cell>
          <cell r="AG203">
            <v>-104.12</v>
          </cell>
          <cell r="AH203">
            <v>812.3</v>
          </cell>
          <cell r="AI203">
            <v>-34.299999999999997</v>
          </cell>
          <cell r="AJ203">
            <v>322.44</v>
          </cell>
          <cell r="AK203">
            <v>42.58</v>
          </cell>
          <cell r="AL203">
            <v>32.07</v>
          </cell>
          <cell r="AM203">
            <v>2561.09</v>
          </cell>
          <cell r="AN203">
            <v>0</v>
          </cell>
          <cell r="AO203">
            <v>793.82</v>
          </cell>
          <cell r="AP203">
            <v>51.79</v>
          </cell>
          <cell r="AQ203">
            <v>558.95000000000005</v>
          </cell>
          <cell r="AR203">
            <v>261.83</v>
          </cell>
          <cell r="AS203">
            <v>156.78</v>
          </cell>
          <cell r="AT203">
            <v>0</v>
          </cell>
          <cell r="AU203">
            <v>0</v>
          </cell>
          <cell r="AV203">
            <v>172.81</v>
          </cell>
          <cell r="AW203">
            <v>40.82</v>
          </cell>
          <cell r="AX203">
            <v>2582.59</v>
          </cell>
          <cell r="AY203">
            <v>802.56</v>
          </cell>
          <cell r="AZ203">
            <v>0</v>
          </cell>
          <cell r="BA203">
            <v>574.42999999999995</v>
          </cell>
          <cell r="BB203">
            <v>4963.57</v>
          </cell>
          <cell r="BC203">
            <v>159.69999999999999</v>
          </cell>
          <cell r="BD203">
            <v>945.83</v>
          </cell>
          <cell r="BE203">
            <v>440.31</v>
          </cell>
          <cell r="BF203">
            <v>94.69</v>
          </cell>
          <cell r="BG203">
            <v>3026.9</v>
          </cell>
          <cell r="BH203">
            <v>552.66</v>
          </cell>
          <cell r="BI203">
            <v>1216.8399999999999</v>
          </cell>
          <cell r="BJ203">
            <v>429.88</v>
          </cell>
          <cell r="BK203">
            <v>1834.17</v>
          </cell>
          <cell r="BL203">
            <v>0</v>
          </cell>
          <cell r="BM203">
            <v>302.23</v>
          </cell>
          <cell r="BN203">
            <v>198.74</v>
          </cell>
          <cell r="BO203">
            <v>0</v>
          </cell>
          <cell r="BP203">
            <v>1326.2</v>
          </cell>
          <cell r="BQ203">
            <v>1792.84</v>
          </cell>
          <cell r="BR203">
            <v>54.24</v>
          </cell>
          <cell r="BS203">
            <v>2251.2600000000002</v>
          </cell>
          <cell r="BT203">
            <v>309.95</v>
          </cell>
          <cell r="BU203">
            <v>1028.43</v>
          </cell>
          <cell r="BV203">
            <v>2440.0300000000002</v>
          </cell>
          <cell r="BW203">
            <v>3895.01</v>
          </cell>
          <cell r="BX203">
            <v>0</v>
          </cell>
          <cell r="BY203">
            <v>1693.9</v>
          </cell>
          <cell r="BZ203">
            <v>802.82</v>
          </cell>
          <cell r="CA203">
            <v>151.16999999999999</v>
          </cell>
          <cell r="CB203">
            <v>63.58</v>
          </cell>
          <cell r="CC203">
            <v>93.07</v>
          </cell>
          <cell r="CD203">
            <v>772.35</v>
          </cell>
          <cell r="CE203">
            <v>4343.76</v>
          </cell>
          <cell r="CF203">
            <v>182.25</v>
          </cell>
          <cell r="CG203">
            <v>-11.93</v>
          </cell>
          <cell r="CH203">
            <v>0</v>
          </cell>
          <cell r="CI203">
            <v>0</v>
          </cell>
          <cell r="CJ203">
            <v>1209.1500000000001</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3793.11</v>
          </cell>
          <cell r="DE203">
            <v>0</v>
          </cell>
          <cell r="DF203">
            <v>0</v>
          </cell>
          <cell r="DG203">
            <v>0</v>
          </cell>
          <cell r="DH203">
            <v>3793.11</v>
          </cell>
        </row>
        <row r="204">
          <cell r="A204" t="str">
            <v>6100130</v>
          </cell>
          <cell r="B204" t="str">
            <v>6100130</v>
          </cell>
          <cell r="C204" t="str">
            <v>EHS Monitoring</v>
          </cell>
          <cell r="BL204">
            <v>0</v>
          </cell>
          <cell r="BM204">
            <v>20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row>
        <row r="205">
          <cell r="A205" t="str">
            <v>6100150</v>
          </cell>
          <cell r="B205" t="str">
            <v>6100150</v>
          </cell>
          <cell r="C205" t="str">
            <v>Printing</v>
          </cell>
          <cell r="D205">
            <v>-5091.95</v>
          </cell>
          <cell r="E205">
            <v>5714.47</v>
          </cell>
          <cell r="F205">
            <v>7970.87</v>
          </cell>
          <cell r="G205">
            <v>5906.28</v>
          </cell>
          <cell r="H205">
            <v>7680.45</v>
          </cell>
          <cell r="I205">
            <v>13728.68</v>
          </cell>
          <cell r="J205">
            <v>8138.19</v>
          </cell>
          <cell r="K205">
            <v>7121.7</v>
          </cell>
          <cell r="L205">
            <v>11237.22</v>
          </cell>
          <cell r="M205">
            <v>13329.69</v>
          </cell>
          <cell r="N205">
            <v>10476.459999999999</v>
          </cell>
          <cell r="O205">
            <v>11228.9</v>
          </cell>
          <cell r="P205">
            <v>11.01</v>
          </cell>
          <cell r="Q205">
            <v>2197.9299999999998</v>
          </cell>
          <cell r="R205">
            <v>125.43</v>
          </cell>
          <cell r="S205">
            <v>2689.88</v>
          </cell>
          <cell r="T205">
            <v>1044.32</v>
          </cell>
          <cell r="U205">
            <v>1221.1099999999999</v>
          </cell>
          <cell r="V205">
            <v>381.26</v>
          </cell>
          <cell r="W205">
            <v>1785</v>
          </cell>
          <cell r="X205">
            <v>26704.09</v>
          </cell>
          <cell r="Y205">
            <v>1925.27</v>
          </cell>
          <cell r="Z205">
            <v>3751.4</v>
          </cell>
          <cell r="AA205">
            <v>942.61</v>
          </cell>
          <cell r="AB205">
            <v>1400.27</v>
          </cell>
          <cell r="AC205">
            <v>60.92</v>
          </cell>
          <cell r="AD205">
            <v>659.11</v>
          </cell>
          <cell r="AE205">
            <v>1139.6600000000001</v>
          </cell>
          <cell r="AF205">
            <v>2846.55</v>
          </cell>
          <cell r="AG205">
            <v>8358.1200000000008</v>
          </cell>
          <cell r="AH205">
            <v>8755.01</v>
          </cell>
          <cell r="AI205">
            <v>337.01</v>
          </cell>
          <cell r="AJ205">
            <v>3615.45</v>
          </cell>
          <cell r="AK205">
            <v>5893.79</v>
          </cell>
          <cell r="AL205">
            <v>1209.28</v>
          </cell>
          <cell r="AM205">
            <v>4373.84</v>
          </cell>
          <cell r="AN205">
            <v>534.19000000000005</v>
          </cell>
          <cell r="AO205">
            <v>1860.98</v>
          </cell>
          <cell r="AP205">
            <v>761.93</v>
          </cell>
          <cell r="AQ205">
            <v>14838.04</v>
          </cell>
          <cell r="AR205">
            <v>-12971.17</v>
          </cell>
          <cell r="AS205">
            <v>525.65</v>
          </cell>
          <cell r="AT205">
            <v>702.14</v>
          </cell>
          <cell r="AU205">
            <v>2228.62</v>
          </cell>
          <cell r="AV205">
            <v>918.72</v>
          </cell>
          <cell r="AW205">
            <v>4224.6400000000003</v>
          </cell>
          <cell r="AX205">
            <v>110.35</v>
          </cell>
          <cell r="AY205">
            <v>325.58999999999997</v>
          </cell>
          <cell r="AZ205">
            <v>1489.39</v>
          </cell>
          <cell r="BA205">
            <v>793.27</v>
          </cell>
          <cell r="BB205">
            <v>20871.41</v>
          </cell>
          <cell r="BC205">
            <v>601.53</v>
          </cell>
          <cell r="BD205">
            <v>-11007.55</v>
          </cell>
          <cell r="BE205">
            <v>237.3</v>
          </cell>
          <cell r="BF205">
            <v>5325.61</v>
          </cell>
          <cell r="BG205">
            <v>1144.05</v>
          </cell>
          <cell r="BH205">
            <v>763.05</v>
          </cell>
          <cell r="BI205">
            <v>55.44</v>
          </cell>
          <cell r="BJ205">
            <v>829.57</v>
          </cell>
          <cell r="BK205">
            <v>8209.32</v>
          </cell>
          <cell r="BL205">
            <v>16863.21</v>
          </cell>
          <cell r="BM205">
            <v>4487.9799999999996</v>
          </cell>
          <cell r="BN205">
            <v>1057.8699999999999</v>
          </cell>
          <cell r="BO205">
            <v>2562.16</v>
          </cell>
          <cell r="BP205">
            <v>3135.81</v>
          </cell>
          <cell r="BQ205">
            <v>3131.82</v>
          </cell>
          <cell r="BR205">
            <v>2400.59</v>
          </cell>
          <cell r="BS205">
            <v>3358.8</v>
          </cell>
          <cell r="BT205">
            <v>577.36</v>
          </cell>
          <cell r="BU205">
            <v>2817.92</v>
          </cell>
          <cell r="BV205">
            <v>52.29</v>
          </cell>
          <cell r="BW205">
            <v>3717.83</v>
          </cell>
          <cell r="BX205">
            <v>5444.01</v>
          </cell>
          <cell r="BY205">
            <v>2763.82</v>
          </cell>
          <cell r="BZ205">
            <v>0</v>
          </cell>
          <cell r="CA205">
            <v>0</v>
          </cell>
          <cell r="CB205">
            <v>0</v>
          </cell>
          <cell r="CC205">
            <v>434.63</v>
          </cell>
          <cell r="CD205">
            <v>289.11</v>
          </cell>
          <cell r="CE205">
            <v>8628.9500000000007</v>
          </cell>
          <cell r="CF205">
            <v>3018.57</v>
          </cell>
          <cell r="CG205">
            <v>1430.51</v>
          </cell>
          <cell r="CH205">
            <v>5074.75</v>
          </cell>
          <cell r="CI205">
            <v>1807</v>
          </cell>
          <cell r="CJ205">
            <v>-94.12</v>
          </cell>
          <cell r="CK205">
            <v>361.88</v>
          </cell>
          <cell r="CL205">
            <v>8349.9500000000007</v>
          </cell>
          <cell r="CM205">
            <v>614.33000000000004</v>
          </cell>
          <cell r="CN205">
            <v>5773.25</v>
          </cell>
          <cell r="CO205">
            <v>3598.54</v>
          </cell>
          <cell r="CP205">
            <v>856.83</v>
          </cell>
          <cell r="CQ205">
            <v>1795.09</v>
          </cell>
          <cell r="CR205">
            <v>78.7</v>
          </cell>
          <cell r="CS205">
            <v>4788.3500000000004</v>
          </cell>
          <cell r="CT205">
            <v>2402.9699999999998</v>
          </cell>
          <cell r="CU205">
            <v>4071.17</v>
          </cell>
          <cell r="CV205">
            <v>5590.6</v>
          </cell>
          <cell r="CW205">
            <v>2937.04</v>
          </cell>
          <cell r="CX205">
            <v>906.12</v>
          </cell>
          <cell r="CY205">
            <v>4665.8</v>
          </cell>
          <cell r="CZ205">
            <v>4336.18</v>
          </cell>
          <cell r="DA205">
            <v>21196.54</v>
          </cell>
          <cell r="DB205">
            <v>8589.8799999999992</v>
          </cell>
          <cell r="DC205">
            <v>4439.33</v>
          </cell>
          <cell r="DD205">
            <v>25242.54</v>
          </cell>
          <cell r="DE205">
            <v>2510.92</v>
          </cell>
          <cell r="DF205">
            <v>2537.2600000000002</v>
          </cell>
          <cell r="DG205">
            <v>1482.1</v>
          </cell>
          <cell r="DH205">
            <v>84434.31</v>
          </cell>
        </row>
        <row r="206">
          <cell r="A206" t="str">
            <v>6100160</v>
          </cell>
          <cell r="B206" t="str">
            <v>6100160</v>
          </cell>
          <cell r="C206" t="str">
            <v>Security Services</v>
          </cell>
          <cell r="D206">
            <v>105.92</v>
          </cell>
          <cell r="E206">
            <v>105.92</v>
          </cell>
          <cell r="F206">
            <v>0</v>
          </cell>
          <cell r="G206">
            <v>105.92</v>
          </cell>
          <cell r="H206">
            <v>181.15</v>
          </cell>
          <cell r="I206">
            <v>105.92</v>
          </cell>
          <cell r="J206">
            <v>190.72</v>
          </cell>
          <cell r="K206">
            <v>0</v>
          </cell>
          <cell r="L206">
            <v>191.64</v>
          </cell>
          <cell r="M206">
            <v>112.28</v>
          </cell>
          <cell r="N206">
            <v>112.28</v>
          </cell>
          <cell r="O206">
            <v>5320.82</v>
          </cell>
          <cell r="P206">
            <v>112.28</v>
          </cell>
          <cell r="Q206">
            <v>645.67999999999995</v>
          </cell>
          <cell r="R206">
            <v>224.56</v>
          </cell>
          <cell r="S206">
            <v>179.59</v>
          </cell>
          <cell r="T206">
            <v>754.15</v>
          </cell>
          <cell r="U206">
            <v>112.28</v>
          </cell>
          <cell r="V206">
            <v>119.02</v>
          </cell>
          <cell r="W206">
            <v>119.03</v>
          </cell>
          <cell r="X206">
            <v>119.03</v>
          </cell>
          <cell r="Y206">
            <v>119.03</v>
          </cell>
          <cell r="Z206">
            <v>1712.85</v>
          </cell>
          <cell r="AA206">
            <v>119.03</v>
          </cell>
          <cell r="AB206">
            <v>816.97</v>
          </cell>
          <cell r="AC206">
            <v>795.25</v>
          </cell>
          <cell r="AD206">
            <v>119.03</v>
          </cell>
          <cell r="AE206">
            <v>119.03</v>
          </cell>
          <cell r="AF206">
            <v>0</v>
          </cell>
          <cell r="AG206">
            <v>1194.1500000000001</v>
          </cell>
          <cell r="AH206">
            <v>-1067.99</v>
          </cell>
          <cell r="AI206">
            <v>431.8</v>
          </cell>
          <cell r="AJ206">
            <v>130.22999999999999</v>
          </cell>
          <cell r="AK206">
            <v>67.56</v>
          </cell>
          <cell r="AL206">
            <v>193.74</v>
          </cell>
          <cell r="AM206">
            <v>1912.66</v>
          </cell>
          <cell r="AN206">
            <v>126.18</v>
          </cell>
          <cell r="AO206">
            <v>0</v>
          </cell>
          <cell r="AP206">
            <v>253.27</v>
          </cell>
          <cell r="AQ206">
            <v>126.18</v>
          </cell>
          <cell r="AR206">
            <v>195.74</v>
          </cell>
          <cell r="AS206">
            <v>126.18</v>
          </cell>
          <cell r="AT206">
            <v>1199.3</v>
          </cell>
          <cell r="AU206">
            <v>72.290000000000006</v>
          </cell>
          <cell r="AV206">
            <v>3335</v>
          </cell>
          <cell r="AW206">
            <v>1417.73</v>
          </cell>
          <cell r="AX206">
            <v>1799.86</v>
          </cell>
          <cell r="AY206">
            <v>230.99</v>
          </cell>
          <cell r="AZ206">
            <v>133.75</v>
          </cell>
          <cell r="BA206">
            <v>133.75</v>
          </cell>
          <cell r="BB206">
            <v>237.83</v>
          </cell>
          <cell r="BC206">
            <v>230.99</v>
          </cell>
          <cell r="BD206">
            <v>480.87</v>
          </cell>
          <cell r="BE206">
            <v>230.99</v>
          </cell>
          <cell r="BF206">
            <v>201.31</v>
          </cell>
          <cell r="BG206">
            <v>133.75</v>
          </cell>
          <cell r="BH206">
            <v>4148.24</v>
          </cell>
          <cell r="BI206">
            <v>480.87</v>
          </cell>
          <cell r="BJ206">
            <v>67.56</v>
          </cell>
          <cell r="BK206">
            <v>1966.54</v>
          </cell>
          <cell r="BL206">
            <v>5040</v>
          </cell>
          <cell r="BM206">
            <v>607.91999999999996</v>
          </cell>
          <cell r="BN206">
            <v>5022.29</v>
          </cell>
          <cell r="BO206">
            <v>1247.57</v>
          </cell>
          <cell r="BP206">
            <v>142.43</v>
          </cell>
          <cell r="BQ206">
            <v>4489.67</v>
          </cell>
          <cell r="BR206">
            <v>209.99</v>
          </cell>
          <cell r="BS206">
            <v>30229.72</v>
          </cell>
          <cell r="BT206">
            <v>142.43</v>
          </cell>
          <cell r="BU206">
            <v>4682.2299999999996</v>
          </cell>
          <cell r="BV206">
            <v>489.72</v>
          </cell>
          <cell r="BW206">
            <v>38789.18</v>
          </cell>
          <cell r="BX206">
            <v>-28552.59</v>
          </cell>
          <cell r="BY206">
            <v>522.52</v>
          </cell>
          <cell r="BZ206">
            <v>4376.8100000000004</v>
          </cell>
          <cell r="CA206">
            <v>412.95</v>
          </cell>
          <cell r="CB206">
            <v>565.76</v>
          </cell>
          <cell r="CC206">
            <v>4401.13</v>
          </cell>
          <cell r="CD206">
            <v>150.91</v>
          </cell>
          <cell r="CE206">
            <v>524.25</v>
          </cell>
          <cell r="CF206">
            <v>4498.37</v>
          </cell>
          <cell r="CG206">
            <v>164.8</v>
          </cell>
          <cell r="CH206">
            <v>1978.24</v>
          </cell>
          <cell r="CI206">
            <v>4250.22</v>
          </cell>
          <cell r="CJ206">
            <v>67.56</v>
          </cell>
          <cell r="CK206">
            <v>0</v>
          </cell>
          <cell r="CL206">
            <v>4801.84</v>
          </cell>
          <cell r="CM206">
            <v>1500</v>
          </cell>
          <cell r="CN206">
            <v>1597.24</v>
          </cell>
          <cell r="CO206">
            <v>7543.97</v>
          </cell>
          <cell r="CP206">
            <v>9071.7900000000009</v>
          </cell>
          <cell r="CQ206">
            <v>3960.98</v>
          </cell>
          <cell r="CR206">
            <v>1528.68</v>
          </cell>
          <cell r="CS206">
            <v>83892.19</v>
          </cell>
          <cell r="CT206">
            <v>34313.120000000003</v>
          </cell>
          <cell r="CU206">
            <v>147902.43</v>
          </cell>
          <cell r="CV206">
            <v>-388.05</v>
          </cell>
          <cell r="CW206">
            <v>1567.56</v>
          </cell>
          <cell r="CX206">
            <v>1878.47</v>
          </cell>
          <cell r="CY206">
            <v>18036.330000000002</v>
          </cell>
          <cell r="CZ206">
            <v>1560.83</v>
          </cell>
          <cell r="DA206">
            <v>41353.96</v>
          </cell>
          <cell r="DB206">
            <v>1696.27</v>
          </cell>
          <cell r="DC206">
            <v>1716.77</v>
          </cell>
          <cell r="DD206">
            <v>1500</v>
          </cell>
          <cell r="DE206">
            <v>32045.759999999998</v>
          </cell>
          <cell r="DF206">
            <v>18613.98</v>
          </cell>
          <cell r="DG206">
            <v>137513.26999999999</v>
          </cell>
          <cell r="DH206">
            <v>257095.14999999997</v>
          </cell>
        </row>
        <row r="207">
          <cell r="A207" t="str">
            <v>6100170</v>
          </cell>
          <cell r="B207" t="str">
            <v>6100170</v>
          </cell>
          <cell r="C207" t="str">
            <v>Hardware Maint/Svcs</v>
          </cell>
          <cell r="D207">
            <v>3863.71</v>
          </cell>
          <cell r="E207">
            <v>1934.42</v>
          </cell>
          <cell r="F207">
            <v>0</v>
          </cell>
          <cell r="G207">
            <v>4139.13</v>
          </cell>
          <cell r="H207">
            <v>4448.7</v>
          </cell>
          <cell r="I207">
            <v>-1312.74</v>
          </cell>
          <cell r="J207">
            <v>41834.589999999997</v>
          </cell>
          <cell r="K207">
            <v>6241.22</v>
          </cell>
          <cell r="L207">
            <v>1932.36</v>
          </cell>
          <cell r="M207">
            <v>24605.17</v>
          </cell>
          <cell r="N207">
            <v>3850</v>
          </cell>
          <cell r="O207">
            <v>1927.52</v>
          </cell>
          <cell r="P207">
            <v>3387</v>
          </cell>
          <cell r="Q207">
            <v>4697.03</v>
          </cell>
          <cell r="R207">
            <v>0</v>
          </cell>
          <cell r="S207">
            <v>9362.01</v>
          </cell>
          <cell r="T207">
            <v>4768</v>
          </cell>
          <cell r="U207">
            <v>8684.0400000000009</v>
          </cell>
          <cell r="V207">
            <v>10615.11</v>
          </cell>
          <cell r="W207">
            <v>15990.04</v>
          </cell>
          <cell r="X207">
            <v>11937.68</v>
          </cell>
          <cell r="Y207">
            <v>8642.41</v>
          </cell>
          <cell r="Z207">
            <v>8155</v>
          </cell>
          <cell r="AA207">
            <v>6709.02</v>
          </cell>
          <cell r="AB207">
            <v>87362</v>
          </cell>
          <cell r="AC207">
            <v>4040.13</v>
          </cell>
          <cell r="AD207">
            <v>-43284</v>
          </cell>
          <cell r="AE207">
            <v>5328</v>
          </cell>
          <cell r="AF207">
            <v>0</v>
          </cell>
          <cell r="AG207">
            <v>5838.27</v>
          </cell>
          <cell r="AH207">
            <v>3387</v>
          </cell>
          <cell r="AI207">
            <v>15019.5</v>
          </cell>
          <cell r="AJ207">
            <v>0</v>
          </cell>
          <cell r="AK207">
            <v>7269.3</v>
          </cell>
          <cell r="AL207">
            <v>11382.43</v>
          </cell>
          <cell r="AM207">
            <v>32240.51</v>
          </cell>
          <cell r="AN207">
            <v>3387</v>
          </cell>
          <cell r="AO207">
            <v>0</v>
          </cell>
          <cell r="AP207">
            <v>0</v>
          </cell>
          <cell r="AQ207">
            <v>0</v>
          </cell>
          <cell r="AR207">
            <v>3387</v>
          </cell>
          <cell r="AS207">
            <v>0</v>
          </cell>
          <cell r="AT207">
            <v>3387</v>
          </cell>
          <cell r="AU207">
            <v>239.4</v>
          </cell>
          <cell r="AV207">
            <v>0</v>
          </cell>
          <cell r="AW207">
            <v>3387</v>
          </cell>
          <cell r="AX207">
            <v>29.13</v>
          </cell>
          <cell r="AY207">
            <v>4025</v>
          </cell>
          <cell r="AZ207">
            <v>-638</v>
          </cell>
          <cell r="BA207">
            <v>0</v>
          </cell>
          <cell r="BB207">
            <v>0</v>
          </cell>
          <cell r="BC207">
            <v>3387</v>
          </cell>
          <cell r="BD207">
            <v>0</v>
          </cell>
          <cell r="BE207">
            <v>0</v>
          </cell>
          <cell r="BF207">
            <v>3387</v>
          </cell>
          <cell r="BG207">
            <v>0</v>
          </cell>
          <cell r="BH207">
            <v>0</v>
          </cell>
          <cell r="BI207">
            <v>3535.4</v>
          </cell>
          <cell r="BJ207">
            <v>0</v>
          </cell>
          <cell r="BK207">
            <v>0</v>
          </cell>
          <cell r="BL207">
            <v>3523.5</v>
          </cell>
          <cell r="BM207">
            <v>0</v>
          </cell>
          <cell r="BN207">
            <v>0</v>
          </cell>
          <cell r="BO207">
            <v>0</v>
          </cell>
          <cell r="BP207">
            <v>0</v>
          </cell>
          <cell r="BQ207">
            <v>3523.5</v>
          </cell>
          <cell r="BR207">
            <v>80.989999999999995</v>
          </cell>
          <cell r="BS207">
            <v>0</v>
          </cell>
          <cell r="BT207">
            <v>3523.5</v>
          </cell>
          <cell r="BU207">
            <v>3523.5</v>
          </cell>
          <cell r="BV207">
            <v>0</v>
          </cell>
          <cell r="BW207">
            <v>0</v>
          </cell>
          <cell r="BX207">
            <v>5242.5</v>
          </cell>
          <cell r="BY207">
            <v>237.5</v>
          </cell>
          <cell r="BZ207">
            <v>5289.42</v>
          </cell>
          <cell r="CA207">
            <v>3630</v>
          </cell>
          <cell r="CB207">
            <v>0</v>
          </cell>
          <cell r="CC207">
            <v>0</v>
          </cell>
          <cell r="CD207">
            <v>3630</v>
          </cell>
          <cell r="CE207">
            <v>0</v>
          </cell>
          <cell r="CF207">
            <v>0</v>
          </cell>
          <cell r="CG207">
            <v>0</v>
          </cell>
          <cell r="CH207">
            <v>0</v>
          </cell>
          <cell r="CI207">
            <v>0</v>
          </cell>
          <cell r="CJ207">
            <v>7260</v>
          </cell>
          <cell r="CK207">
            <v>0</v>
          </cell>
          <cell r="CL207">
            <v>0</v>
          </cell>
          <cell r="CM207">
            <v>3630</v>
          </cell>
          <cell r="CN207">
            <v>0</v>
          </cell>
          <cell r="CO207">
            <v>0</v>
          </cell>
          <cell r="CP207">
            <v>3630</v>
          </cell>
          <cell r="CQ207">
            <v>0</v>
          </cell>
          <cell r="CR207">
            <v>0</v>
          </cell>
          <cell r="CS207">
            <v>7260</v>
          </cell>
          <cell r="CT207">
            <v>0</v>
          </cell>
          <cell r="CU207">
            <v>0</v>
          </cell>
          <cell r="CV207">
            <v>0</v>
          </cell>
          <cell r="CW207">
            <v>0</v>
          </cell>
          <cell r="CX207">
            <v>4485</v>
          </cell>
          <cell r="CY207">
            <v>4485</v>
          </cell>
          <cell r="CZ207">
            <v>0</v>
          </cell>
          <cell r="DA207">
            <v>1050</v>
          </cell>
          <cell r="DB207">
            <v>4485</v>
          </cell>
          <cell r="DC207">
            <v>0</v>
          </cell>
          <cell r="DD207">
            <v>0</v>
          </cell>
          <cell r="DE207">
            <v>0</v>
          </cell>
          <cell r="DF207">
            <v>0</v>
          </cell>
          <cell r="DG207">
            <v>4485</v>
          </cell>
          <cell r="DH207">
            <v>18990</v>
          </cell>
        </row>
        <row r="208">
          <cell r="A208" t="str">
            <v>6100180</v>
          </cell>
          <cell r="B208" t="str">
            <v>6100180</v>
          </cell>
          <cell r="C208" t="str">
            <v>Site Testing Service</v>
          </cell>
          <cell r="D208">
            <v>0</v>
          </cell>
          <cell r="E208">
            <v>0</v>
          </cell>
          <cell r="F208">
            <v>0</v>
          </cell>
          <cell r="G208">
            <v>0</v>
          </cell>
          <cell r="H208">
            <v>0</v>
          </cell>
          <cell r="I208">
            <v>0</v>
          </cell>
          <cell r="J208">
            <v>0</v>
          </cell>
          <cell r="K208">
            <v>0</v>
          </cell>
          <cell r="L208">
            <v>0</v>
          </cell>
          <cell r="M208">
            <v>0</v>
          </cell>
          <cell r="N208">
            <v>30</v>
          </cell>
          <cell r="O208">
            <v>0</v>
          </cell>
          <cell r="P208">
            <v>0</v>
          </cell>
          <cell r="Q208">
            <v>0</v>
          </cell>
          <cell r="R208">
            <v>0</v>
          </cell>
          <cell r="S208">
            <v>0</v>
          </cell>
          <cell r="T208">
            <v>0</v>
          </cell>
          <cell r="U208">
            <v>0</v>
          </cell>
          <cell r="V208">
            <v>0</v>
          </cell>
          <cell r="W208">
            <v>0</v>
          </cell>
          <cell r="X208">
            <v>0</v>
          </cell>
          <cell r="Y208">
            <v>360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150</v>
          </cell>
          <cell r="BL208">
            <v>0</v>
          </cell>
          <cell r="BM208">
            <v>0</v>
          </cell>
          <cell r="BN208">
            <v>0</v>
          </cell>
          <cell r="BO208">
            <v>0</v>
          </cell>
          <cell r="BP208">
            <v>0</v>
          </cell>
          <cell r="BQ208">
            <v>0</v>
          </cell>
          <cell r="BR208">
            <v>1410</v>
          </cell>
          <cell r="BS208">
            <v>90</v>
          </cell>
          <cell r="BT208">
            <v>0</v>
          </cell>
          <cell r="BU208">
            <v>0</v>
          </cell>
          <cell r="BV208">
            <v>0</v>
          </cell>
          <cell r="BW208">
            <v>90</v>
          </cell>
          <cell r="BX208">
            <v>0</v>
          </cell>
          <cell r="BY208">
            <v>0</v>
          </cell>
          <cell r="BZ208">
            <v>650</v>
          </cell>
          <cell r="CA208">
            <v>0</v>
          </cell>
          <cell r="CB208">
            <v>0</v>
          </cell>
          <cell r="CC208">
            <v>145</v>
          </cell>
          <cell r="CD208">
            <v>0</v>
          </cell>
          <cell r="CE208">
            <v>0</v>
          </cell>
          <cell r="CF208">
            <v>0</v>
          </cell>
          <cell r="CG208">
            <v>0</v>
          </cell>
          <cell r="CH208">
            <v>23760</v>
          </cell>
          <cell r="CI208">
            <v>-23760</v>
          </cell>
          <cell r="CJ208">
            <v>0</v>
          </cell>
          <cell r="CK208">
            <v>0</v>
          </cell>
          <cell r="CL208">
            <v>0</v>
          </cell>
          <cell r="CM208">
            <v>120</v>
          </cell>
          <cell r="CN208">
            <v>0</v>
          </cell>
          <cell r="CO208">
            <v>0</v>
          </cell>
          <cell r="CP208">
            <v>0</v>
          </cell>
          <cell r="CQ208">
            <v>0</v>
          </cell>
          <cell r="CR208">
            <v>0</v>
          </cell>
          <cell r="CS208">
            <v>23760</v>
          </cell>
          <cell r="CT208">
            <v>-23760</v>
          </cell>
          <cell r="CU208">
            <v>0</v>
          </cell>
          <cell r="CV208">
            <v>0</v>
          </cell>
          <cell r="CW208">
            <v>0</v>
          </cell>
          <cell r="CX208">
            <v>0</v>
          </cell>
          <cell r="CY208">
            <v>0</v>
          </cell>
          <cell r="CZ208">
            <v>0</v>
          </cell>
          <cell r="DA208">
            <v>69</v>
          </cell>
          <cell r="DB208">
            <v>23760</v>
          </cell>
          <cell r="DC208">
            <v>0</v>
          </cell>
          <cell r="DD208">
            <v>0</v>
          </cell>
          <cell r="DE208">
            <v>0</v>
          </cell>
          <cell r="DF208">
            <v>0</v>
          </cell>
          <cell r="DG208">
            <v>0</v>
          </cell>
          <cell r="DH208">
            <v>23829</v>
          </cell>
        </row>
        <row r="209">
          <cell r="A209" t="str">
            <v>6100190</v>
          </cell>
          <cell r="B209" t="str">
            <v>6100190</v>
          </cell>
          <cell r="C209" t="str">
            <v>Software Maintenance</v>
          </cell>
          <cell r="D209">
            <v>20174.939999999999</v>
          </cell>
          <cell r="E209">
            <v>184504.78</v>
          </cell>
          <cell r="F209">
            <v>271277.39</v>
          </cell>
          <cell r="G209">
            <v>59548.75</v>
          </cell>
          <cell r="H209">
            <v>-9000</v>
          </cell>
          <cell r="I209">
            <v>125599.11</v>
          </cell>
          <cell r="J209">
            <v>150872.84</v>
          </cell>
          <cell r="K209">
            <v>-9414.91</v>
          </cell>
          <cell r="L209">
            <v>13061.5</v>
          </cell>
          <cell r="M209">
            <v>152383.6</v>
          </cell>
          <cell r="N209">
            <v>52813.32</v>
          </cell>
          <cell r="O209">
            <v>-84498.21</v>
          </cell>
          <cell r="P209">
            <v>175175.17</v>
          </cell>
          <cell r="Q209">
            <v>71909.899999999994</v>
          </cell>
          <cell r="R209">
            <v>95065.98</v>
          </cell>
          <cell r="S209">
            <v>194396</v>
          </cell>
          <cell r="T209">
            <v>73902.070000000007</v>
          </cell>
          <cell r="U209">
            <v>84996.39</v>
          </cell>
          <cell r="V209">
            <v>141632.17000000001</v>
          </cell>
          <cell r="W209">
            <v>89635.16</v>
          </cell>
          <cell r="X209">
            <v>113733.28</v>
          </cell>
          <cell r="Y209">
            <v>193393.67</v>
          </cell>
          <cell r="Z209">
            <v>107957.1</v>
          </cell>
          <cell r="AA209">
            <v>341808.97</v>
          </cell>
          <cell r="AB209">
            <v>144808.07999999999</v>
          </cell>
          <cell r="AC209">
            <v>95157.89</v>
          </cell>
          <cell r="AD209">
            <v>156373.17000000001</v>
          </cell>
          <cell r="AE209">
            <v>279079.53999999998</v>
          </cell>
          <cell r="AF209">
            <v>102411.94</v>
          </cell>
          <cell r="AG209">
            <v>221047.57</v>
          </cell>
          <cell r="AH209">
            <v>183404.63</v>
          </cell>
          <cell r="AI209">
            <v>-23314.37</v>
          </cell>
          <cell r="AJ209">
            <v>148990.57999999999</v>
          </cell>
          <cell r="AK209">
            <v>306509.38</v>
          </cell>
          <cell r="AL209">
            <v>-107708.49</v>
          </cell>
          <cell r="AM209">
            <v>410172.75</v>
          </cell>
          <cell r="AN209">
            <v>116216.05</v>
          </cell>
          <cell r="AO209">
            <v>132489.93</v>
          </cell>
          <cell r="AP209">
            <v>177555.18</v>
          </cell>
          <cell r="AQ209">
            <v>104418.04</v>
          </cell>
          <cell r="AR209">
            <v>116376.36</v>
          </cell>
          <cell r="AS209">
            <v>196899.66</v>
          </cell>
          <cell r="AT209">
            <v>116764.78</v>
          </cell>
          <cell r="AU209">
            <v>130937.14</v>
          </cell>
          <cell r="AV209">
            <v>243638.15</v>
          </cell>
          <cell r="AW209">
            <v>151199.54999999999</v>
          </cell>
          <cell r="AX209">
            <v>159510.43</v>
          </cell>
          <cell r="AY209">
            <v>144670.81</v>
          </cell>
          <cell r="AZ209">
            <v>165669.39000000001</v>
          </cell>
          <cell r="BA209">
            <v>222332.62</v>
          </cell>
          <cell r="BB209">
            <v>725576.98</v>
          </cell>
          <cell r="BC209">
            <v>173638.28</v>
          </cell>
          <cell r="BD209">
            <v>110226.6</v>
          </cell>
          <cell r="BE209">
            <v>164049.74</v>
          </cell>
          <cell r="BF209">
            <v>168582.51</v>
          </cell>
          <cell r="BG209">
            <v>162065.07</v>
          </cell>
          <cell r="BH209">
            <v>69109.31</v>
          </cell>
          <cell r="BI209">
            <v>192622.27</v>
          </cell>
          <cell r="BJ209">
            <v>126442.44</v>
          </cell>
          <cell r="BK209">
            <v>492995.97</v>
          </cell>
          <cell r="BL209">
            <v>133933.17000000001</v>
          </cell>
          <cell r="BM209">
            <v>60072.959999999999</v>
          </cell>
          <cell r="BN209">
            <v>91455.37</v>
          </cell>
          <cell r="BO209">
            <v>90032.11</v>
          </cell>
          <cell r="BP209">
            <v>213568.62</v>
          </cell>
          <cell r="BQ209">
            <v>80764.87</v>
          </cell>
          <cell r="BR209">
            <v>124389.6</v>
          </cell>
          <cell r="BS209">
            <v>93938.67</v>
          </cell>
          <cell r="BT209">
            <v>136928.75</v>
          </cell>
          <cell r="BU209">
            <v>155741.17000000001</v>
          </cell>
          <cell r="BV209">
            <v>194863.67</v>
          </cell>
          <cell r="BW209">
            <v>117871.33</v>
          </cell>
          <cell r="BX209">
            <v>109107.6</v>
          </cell>
          <cell r="BY209">
            <v>75632.91</v>
          </cell>
          <cell r="BZ209">
            <v>266533.31</v>
          </cell>
          <cell r="CA209">
            <v>106354.39</v>
          </cell>
          <cell r="CB209">
            <v>162138.06</v>
          </cell>
          <cell r="CC209">
            <v>154746.49</v>
          </cell>
          <cell r="CD209">
            <v>388966.39</v>
          </cell>
          <cell r="CE209">
            <v>168758.79</v>
          </cell>
          <cell r="CF209">
            <v>176443.05</v>
          </cell>
          <cell r="CG209">
            <v>133363.16</v>
          </cell>
          <cell r="CH209">
            <v>1097310.21</v>
          </cell>
          <cell r="CI209">
            <v>1614812.74</v>
          </cell>
          <cell r="CJ209">
            <v>179691.77</v>
          </cell>
          <cell r="CK209">
            <v>810197.72</v>
          </cell>
          <cell r="CL209">
            <v>348787.05</v>
          </cell>
          <cell r="CM209">
            <v>137335.35999999999</v>
          </cell>
          <cell r="CN209">
            <v>108168.51</v>
          </cell>
          <cell r="CO209">
            <v>387412.17</v>
          </cell>
          <cell r="CP209">
            <v>211943.76</v>
          </cell>
          <cell r="CQ209">
            <v>1175379.95</v>
          </cell>
          <cell r="CR209">
            <v>-1996452.74</v>
          </cell>
          <cell r="CS209">
            <v>188643.69</v>
          </cell>
          <cell r="CT209">
            <v>197614.57</v>
          </cell>
          <cell r="CU209">
            <v>734435.47</v>
          </cell>
          <cell r="CV209">
            <v>223927.72</v>
          </cell>
          <cell r="CW209">
            <v>257625.3</v>
          </cell>
          <cell r="CX209">
            <v>505248.22</v>
          </cell>
          <cell r="CY209">
            <v>392319.36</v>
          </cell>
          <cell r="CZ209">
            <v>180088.95999999999</v>
          </cell>
          <cell r="DA209">
            <v>176409.97</v>
          </cell>
          <cell r="DB209">
            <v>143207.63</v>
          </cell>
          <cell r="DC209">
            <v>191527.72</v>
          </cell>
          <cell r="DD209">
            <v>310983.77</v>
          </cell>
          <cell r="DE209">
            <v>166624.47</v>
          </cell>
          <cell r="DF209">
            <v>184372.83</v>
          </cell>
          <cell r="DG209">
            <v>215288.39</v>
          </cell>
          <cell r="DH209">
            <v>2947624.3400000008</v>
          </cell>
        </row>
        <row r="210">
          <cell r="A210" t="str">
            <v>6100200</v>
          </cell>
          <cell r="B210" t="str">
            <v>6100200</v>
          </cell>
          <cell r="C210" t="str">
            <v>Trust Fee</v>
          </cell>
          <cell r="D210">
            <v>0</v>
          </cell>
          <cell r="E210">
            <v>0</v>
          </cell>
          <cell r="F210">
            <v>0</v>
          </cell>
          <cell r="G210">
            <v>0</v>
          </cell>
          <cell r="H210">
            <v>0</v>
          </cell>
          <cell r="I210">
            <v>0</v>
          </cell>
          <cell r="J210">
            <v>0</v>
          </cell>
          <cell r="K210">
            <v>0</v>
          </cell>
          <cell r="L210">
            <v>0</v>
          </cell>
          <cell r="M210">
            <v>984</v>
          </cell>
          <cell r="N210">
            <v>95.69</v>
          </cell>
          <cell r="O210">
            <v>0</v>
          </cell>
          <cell r="P210">
            <v>0</v>
          </cell>
          <cell r="Q210">
            <v>0</v>
          </cell>
          <cell r="R210">
            <v>0</v>
          </cell>
          <cell r="S210">
            <v>0</v>
          </cell>
          <cell r="T210">
            <v>140</v>
          </cell>
          <cell r="U210">
            <v>0</v>
          </cell>
          <cell r="V210">
            <v>0</v>
          </cell>
          <cell r="W210">
            <v>0</v>
          </cell>
          <cell r="X210">
            <v>420</v>
          </cell>
          <cell r="Y210">
            <v>984</v>
          </cell>
          <cell r="Z210">
            <v>0</v>
          </cell>
          <cell r="AA210">
            <v>0</v>
          </cell>
          <cell r="AB210">
            <v>0</v>
          </cell>
          <cell r="AC210">
            <v>0</v>
          </cell>
          <cell r="AD210">
            <v>0</v>
          </cell>
          <cell r="AE210">
            <v>0</v>
          </cell>
          <cell r="AF210">
            <v>140</v>
          </cell>
          <cell r="AG210">
            <v>336</v>
          </cell>
          <cell r="AH210">
            <v>683.33</v>
          </cell>
          <cell r="AI210">
            <v>0</v>
          </cell>
          <cell r="AJ210">
            <v>420</v>
          </cell>
          <cell r="AK210">
            <v>984</v>
          </cell>
          <cell r="AL210">
            <v>0</v>
          </cell>
          <cell r="AM210">
            <v>0</v>
          </cell>
          <cell r="AN210">
            <v>0</v>
          </cell>
          <cell r="AO210">
            <v>0</v>
          </cell>
          <cell r="AP210">
            <v>0</v>
          </cell>
          <cell r="AQ210">
            <v>0</v>
          </cell>
          <cell r="AR210">
            <v>476</v>
          </cell>
          <cell r="AS210">
            <v>675</v>
          </cell>
          <cell r="AT210">
            <v>0</v>
          </cell>
          <cell r="AU210">
            <v>0</v>
          </cell>
          <cell r="AV210">
            <v>405</v>
          </cell>
          <cell r="AW210">
            <v>0</v>
          </cell>
          <cell r="AX210">
            <v>0</v>
          </cell>
          <cell r="AY210">
            <v>0</v>
          </cell>
          <cell r="AZ210">
            <v>0</v>
          </cell>
          <cell r="BA210">
            <v>0</v>
          </cell>
          <cell r="BB210">
            <v>0</v>
          </cell>
          <cell r="BC210">
            <v>0</v>
          </cell>
          <cell r="BD210">
            <v>0</v>
          </cell>
          <cell r="BE210">
            <v>1151</v>
          </cell>
          <cell r="BF210">
            <v>0</v>
          </cell>
          <cell r="BG210">
            <v>0</v>
          </cell>
          <cell r="BH210">
            <v>0</v>
          </cell>
          <cell r="BI210">
            <v>972</v>
          </cell>
          <cell r="BJ210">
            <v>0</v>
          </cell>
          <cell r="BK210">
            <v>420</v>
          </cell>
          <cell r="BL210">
            <v>0</v>
          </cell>
          <cell r="BM210">
            <v>0</v>
          </cell>
          <cell r="BN210">
            <v>0</v>
          </cell>
          <cell r="BO210">
            <v>0</v>
          </cell>
          <cell r="BP210">
            <v>0</v>
          </cell>
          <cell r="BQ210">
            <v>0</v>
          </cell>
          <cell r="BR210">
            <v>1445</v>
          </cell>
          <cell r="BS210">
            <v>0</v>
          </cell>
          <cell r="BT210">
            <v>420</v>
          </cell>
          <cell r="BU210">
            <v>972</v>
          </cell>
          <cell r="BV210">
            <v>0</v>
          </cell>
          <cell r="BW210">
            <v>0</v>
          </cell>
          <cell r="BX210">
            <v>0</v>
          </cell>
          <cell r="BY210">
            <v>0</v>
          </cell>
          <cell r="BZ210">
            <v>0</v>
          </cell>
          <cell r="CA210">
            <v>0</v>
          </cell>
          <cell r="CB210">
            <v>0</v>
          </cell>
          <cell r="CC210">
            <v>133.33000000000001</v>
          </cell>
          <cell r="CD210">
            <v>320</v>
          </cell>
          <cell r="CE210">
            <v>0</v>
          </cell>
          <cell r="CF210">
            <v>0</v>
          </cell>
          <cell r="CG210">
            <v>1523.87</v>
          </cell>
          <cell r="CH210">
            <v>0</v>
          </cell>
          <cell r="CI210">
            <v>1640</v>
          </cell>
          <cell r="CJ210">
            <v>0</v>
          </cell>
          <cell r="CK210">
            <v>0</v>
          </cell>
          <cell r="CL210">
            <v>0</v>
          </cell>
          <cell r="CM210">
            <v>0</v>
          </cell>
          <cell r="CN210">
            <v>0</v>
          </cell>
          <cell r="CO210">
            <v>0</v>
          </cell>
          <cell r="CP210">
            <v>0</v>
          </cell>
          <cell r="CQ210">
            <v>0</v>
          </cell>
          <cell r="CR210">
            <v>1310.47</v>
          </cell>
          <cell r="CS210">
            <v>1360</v>
          </cell>
          <cell r="CT210">
            <v>0</v>
          </cell>
          <cell r="CU210">
            <v>266.67</v>
          </cell>
          <cell r="CV210">
            <v>0</v>
          </cell>
          <cell r="CW210">
            <v>0</v>
          </cell>
          <cell r="CX210">
            <v>0</v>
          </cell>
          <cell r="CY210">
            <v>0</v>
          </cell>
          <cell r="CZ210">
            <v>0</v>
          </cell>
          <cell r="DA210">
            <v>0</v>
          </cell>
          <cell r="DB210">
            <v>1310.47</v>
          </cell>
          <cell r="DC210">
            <v>0</v>
          </cell>
          <cell r="DD210">
            <v>0</v>
          </cell>
          <cell r="DE210">
            <v>0</v>
          </cell>
          <cell r="DF210">
            <v>350</v>
          </cell>
          <cell r="DG210">
            <v>1226.67</v>
          </cell>
          <cell r="DH210">
            <v>2887.1400000000003</v>
          </cell>
        </row>
        <row r="211">
          <cell r="A211" t="str">
            <v>6108999</v>
          </cell>
          <cell r="B211" t="str">
            <v>6108999</v>
          </cell>
          <cell r="C211" t="str">
            <v>OutSvc Exp Reclass</v>
          </cell>
          <cell r="D211">
            <v>11877</v>
          </cell>
          <cell r="E211">
            <v>0</v>
          </cell>
          <cell r="F211">
            <v>0</v>
          </cell>
          <cell r="G211">
            <v>0</v>
          </cell>
          <cell r="H211">
            <v>0</v>
          </cell>
          <cell r="I211">
            <v>0</v>
          </cell>
          <cell r="J211">
            <v>0</v>
          </cell>
          <cell r="K211">
            <v>0</v>
          </cell>
          <cell r="L211">
            <v>0</v>
          </cell>
          <cell r="M211">
            <v>-197969.81</v>
          </cell>
          <cell r="N211">
            <v>16312.95</v>
          </cell>
          <cell r="O211">
            <v>-1483922.99</v>
          </cell>
          <cell r="P211">
            <v>0</v>
          </cell>
          <cell r="Q211">
            <v>0</v>
          </cell>
          <cell r="R211">
            <v>-208275.36</v>
          </cell>
          <cell r="S211">
            <v>0</v>
          </cell>
          <cell r="T211">
            <v>-53633.86</v>
          </cell>
          <cell r="U211">
            <v>53633.86</v>
          </cell>
          <cell r="V211">
            <v>13960.6</v>
          </cell>
          <cell r="W211">
            <v>0</v>
          </cell>
          <cell r="X211">
            <v>0</v>
          </cell>
          <cell r="Y211">
            <v>0</v>
          </cell>
          <cell r="Z211">
            <v>6500</v>
          </cell>
          <cell r="AA211">
            <v>56268.800000000003</v>
          </cell>
          <cell r="AB211">
            <v>0</v>
          </cell>
          <cell r="AC211">
            <v>0</v>
          </cell>
          <cell r="AD211">
            <v>19575</v>
          </cell>
          <cell r="AE211">
            <v>300</v>
          </cell>
          <cell r="AF211">
            <v>0</v>
          </cell>
          <cell r="AG211">
            <v>0</v>
          </cell>
          <cell r="AH211">
            <v>0</v>
          </cell>
          <cell r="AI211">
            <v>0</v>
          </cell>
          <cell r="AJ211">
            <v>12800</v>
          </cell>
          <cell r="AK211">
            <v>17455.13</v>
          </cell>
          <cell r="AL211">
            <v>23905.46</v>
          </cell>
          <cell r="AM211">
            <v>148971.35999999999</v>
          </cell>
          <cell r="AN211">
            <v>-136629.12</v>
          </cell>
          <cell r="AO211">
            <v>314700.71999999997</v>
          </cell>
          <cell r="AP211">
            <v>-161649.95000000001</v>
          </cell>
          <cell r="AQ211">
            <v>0</v>
          </cell>
          <cell r="AR211">
            <v>0</v>
          </cell>
          <cell r="AS211">
            <v>0</v>
          </cell>
          <cell r="AT211">
            <v>0</v>
          </cell>
          <cell r="AU211">
            <v>0</v>
          </cell>
          <cell r="AV211">
            <v>0</v>
          </cell>
          <cell r="AW211">
            <v>0</v>
          </cell>
          <cell r="AX211">
            <v>0</v>
          </cell>
          <cell r="AY211">
            <v>-219803.5</v>
          </cell>
          <cell r="AZ211">
            <v>0</v>
          </cell>
          <cell r="BA211">
            <v>150</v>
          </cell>
          <cell r="BB211">
            <v>8853.69</v>
          </cell>
          <cell r="BC211">
            <v>0</v>
          </cell>
          <cell r="BD211">
            <v>261420.04</v>
          </cell>
          <cell r="BE211">
            <v>-259170.04</v>
          </cell>
          <cell r="BF211">
            <v>0</v>
          </cell>
          <cell r="BG211">
            <v>0</v>
          </cell>
          <cell r="BH211">
            <v>0</v>
          </cell>
          <cell r="BI211">
            <v>0</v>
          </cell>
          <cell r="BJ211">
            <v>31369.68</v>
          </cell>
          <cell r="BK211">
            <v>305664.45</v>
          </cell>
          <cell r="BL211">
            <v>0</v>
          </cell>
          <cell r="BM211">
            <v>-1239.96</v>
          </cell>
          <cell r="BN211">
            <v>2885.25</v>
          </cell>
          <cell r="BO211">
            <v>19477.43</v>
          </cell>
          <cell r="BP211">
            <v>17002.330000000002</v>
          </cell>
          <cell r="BQ211">
            <v>12237.93</v>
          </cell>
          <cell r="BR211">
            <v>90769.25</v>
          </cell>
          <cell r="BS211">
            <v>191630.33</v>
          </cell>
          <cell r="BT211">
            <v>10026.11</v>
          </cell>
          <cell r="BU211">
            <v>83369.59</v>
          </cell>
          <cell r="BV211">
            <v>177514.17</v>
          </cell>
          <cell r="BW211">
            <v>11577.68</v>
          </cell>
          <cell r="BX211">
            <v>0</v>
          </cell>
          <cell r="BY211">
            <v>677.59</v>
          </cell>
          <cell r="BZ211">
            <v>12290.99</v>
          </cell>
          <cell r="CA211">
            <v>13660.86</v>
          </cell>
          <cell r="CB211">
            <v>2130.08</v>
          </cell>
          <cell r="CC211">
            <v>8174.39</v>
          </cell>
          <cell r="CD211">
            <v>537.03</v>
          </cell>
          <cell r="CE211">
            <v>1285.1099999999999</v>
          </cell>
          <cell r="CF211">
            <v>29333.86</v>
          </cell>
          <cell r="CG211">
            <v>2860.01</v>
          </cell>
          <cell r="CH211">
            <v>3060.52</v>
          </cell>
          <cell r="CI211">
            <v>16555.59</v>
          </cell>
          <cell r="CJ211">
            <v>7216.43</v>
          </cell>
          <cell r="CK211">
            <v>6198</v>
          </cell>
          <cell r="CL211">
            <v>-83622.73</v>
          </cell>
          <cell r="CM211">
            <v>25385.17</v>
          </cell>
          <cell r="CN211">
            <v>0</v>
          </cell>
          <cell r="CO211">
            <v>2387.5</v>
          </cell>
          <cell r="CP211">
            <v>0</v>
          </cell>
          <cell r="CQ211">
            <v>0</v>
          </cell>
          <cell r="CR211">
            <v>7878.7</v>
          </cell>
          <cell r="CS211">
            <v>1739.22</v>
          </cell>
          <cell r="CT211">
            <v>0</v>
          </cell>
          <cell r="CU211">
            <v>285151.52</v>
          </cell>
          <cell r="CV211">
            <v>238412.24</v>
          </cell>
          <cell r="CW211">
            <v>-34407.81</v>
          </cell>
          <cell r="CX211">
            <v>1510.3</v>
          </cell>
          <cell r="CY211">
            <v>21394.41</v>
          </cell>
          <cell r="CZ211">
            <v>4110.1899999999996</v>
          </cell>
          <cell r="DA211">
            <v>26683.35</v>
          </cell>
          <cell r="DB211">
            <v>22423.01</v>
          </cell>
          <cell r="DC211">
            <v>46297.07</v>
          </cell>
          <cell r="DD211">
            <v>-563064.73</v>
          </cell>
          <cell r="DE211">
            <v>-708228.09</v>
          </cell>
          <cell r="DF211">
            <v>913066.43</v>
          </cell>
          <cell r="DG211">
            <v>89152.42</v>
          </cell>
          <cell r="DH211">
            <v>57348.79000000011</v>
          </cell>
        </row>
        <row r="212">
          <cell r="A212" t="str">
            <v>6109000</v>
          </cell>
          <cell r="B212" t="str">
            <v>6109000</v>
          </cell>
          <cell r="C212" t="str">
            <v>OutSvc to BalSheet</v>
          </cell>
          <cell r="D212">
            <v>-1537827.83</v>
          </cell>
          <cell r="E212">
            <v>-7004135.25</v>
          </cell>
          <cell r="F212">
            <v>-4450176.57</v>
          </cell>
          <cell r="G212">
            <v>-5756125.8300000001</v>
          </cell>
          <cell r="H212">
            <v>-4308297.6500000004</v>
          </cell>
          <cell r="I212">
            <v>-5773706.8099999996</v>
          </cell>
          <cell r="J212">
            <v>-5387195.9900000002</v>
          </cell>
          <cell r="K212">
            <v>-7172374.7599999998</v>
          </cell>
          <cell r="L212">
            <v>-4902110.42</v>
          </cell>
          <cell r="M212">
            <v>-4397713.7</v>
          </cell>
          <cell r="N212">
            <v>-3517633.66</v>
          </cell>
          <cell r="O212">
            <v>-4956266.88</v>
          </cell>
          <cell r="P212">
            <v>-4197744.43</v>
          </cell>
          <cell r="Q212">
            <v>-3668925.26</v>
          </cell>
          <cell r="R212">
            <v>-4439897.3099999996</v>
          </cell>
          <cell r="S212">
            <v>-3568571.81</v>
          </cell>
          <cell r="T212">
            <v>-3459380.94</v>
          </cell>
          <cell r="U212">
            <v>-6140978.96</v>
          </cell>
          <cell r="V212">
            <v>-5163173.4800000004</v>
          </cell>
          <cell r="W212">
            <v>-3727323.84</v>
          </cell>
          <cell r="X212">
            <v>-4496096.4800000004</v>
          </cell>
          <cell r="Y212">
            <v>-5707918.7300000004</v>
          </cell>
          <cell r="Z212">
            <v>-6076381.21</v>
          </cell>
          <cell r="AA212">
            <v>-6830272.7800000003</v>
          </cell>
          <cell r="AB212">
            <v>-3864344.32</v>
          </cell>
          <cell r="AC212">
            <v>-11285141.35</v>
          </cell>
          <cell r="AD212">
            <v>-6943160.6799999997</v>
          </cell>
          <cell r="AE212">
            <v>-5234716.13</v>
          </cell>
          <cell r="AF212">
            <v>-8649143.4000000004</v>
          </cell>
          <cell r="AG212">
            <v>-10089333.640000001</v>
          </cell>
          <cell r="AH212">
            <v>-6378566.2999999998</v>
          </cell>
          <cell r="AI212">
            <v>-7207186.7400000002</v>
          </cell>
          <cell r="AJ212">
            <v>-7265090.6799999997</v>
          </cell>
          <cell r="AK212">
            <v>-6257726.6799999997</v>
          </cell>
          <cell r="AL212">
            <v>-8084717.1699999999</v>
          </cell>
          <cell r="AM212">
            <v>-10375779.93</v>
          </cell>
          <cell r="AN212">
            <v>-4424849.43</v>
          </cell>
          <cell r="AO212">
            <v>-6533830.8099999996</v>
          </cell>
          <cell r="AP212">
            <v>-6006226.5300000003</v>
          </cell>
          <cell r="AQ212">
            <v>-5001661.2699999996</v>
          </cell>
          <cell r="AR212">
            <v>-6375406.04</v>
          </cell>
          <cell r="AS212">
            <v>-5956515.9000000004</v>
          </cell>
          <cell r="AT212">
            <v>-7857541.3799999999</v>
          </cell>
          <cell r="AU212">
            <v>-9926202.6199999992</v>
          </cell>
          <cell r="AV212">
            <v>-4933521.2</v>
          </cell>
          <cell r="AW212">
            <v>-7969617.7599999998</v>
          </cell>
          <cell r="AX212">
            <v>-7784337.8399999999</v>
          </cell>
          <cell r="AY212">
            <v>-8295610.2999999998</v>
          </cell>
          <cell r="AZ212">
            <v>-7195132.9000000004</v>
          </cell>
          <cell r="BA212">
            <v>-8487906.8599999994</v>
          </cell>
          <cell r="BB212">
            <v>-10031224.9</v>
          </cell>
          <cell r="BC212">
            <v>-6541634.0199999996</v>
          </cell>
          <cell r="BD212">
            <v>-10434375.279999999</v>
          </cell>
          <cell r="BE212">
            <v>-7758499.2599999998</v>
          </cell>
          <cell r="BF212">
            <v>-7844135.0099999998</v>
          </cell>
          <cell r="BG212">
            <v>-10588234.460000001</v>
          </cell>
          <cell r="BH212">
            <v>-9951816.3399999999</v>
          </cell>
          <cell r="BI212">
            <v>-15501397.699999999</v>
          </cell>
          <cell r="BJ212">
            <v>-12914923.960000001</v>
          </cell>
          <cell r="BK212">
            <v>-11948244.32</v>
          </cell>
          <cell r="BL212">
            <v>-13353247.83</v>
          </cell>
          <cell r="BM212">
            <v>-10040771.449999999</v>
          </cell>
          <cell r="BN212">
            <v>-10820792.49</v>
          </cell>
          <cell r="BO212">
            <v>-10043049.439999999</v>
          </cell>
          <cell r="BP212">
            <v>-11877161.890000001</v>
          </cell>
          <cell r="BQ212">
            <v>-14275810.550000001</v>
          </cell>
          <cell r="BR212">
            <v>-9703192.6600000001</v>
          </cell>
          <cell r="BS212">
            <v>-16254587.869999999</v>
          </cell>
          <cell r="BT212">
            <v>-10920005.970000001</v>
          </cell>
          <cell r="BU212">
            <v>-13323613.24</v>
          </cell>
          <cell r="BV212">
            <v>-16050438.18</v>
          </cell>
          <cell r="BW212">
            <v>-18399758.399999999</v>
          </cell>
          <cell r="BX212">
            <v>-18021030.140000001</v>
          </cell>
          <cell r="BY212">
            <v>-16796687.25</v>
          </cell>
          <cell r="BZ212">
            <v>-17369330.120000001</v>
          </cell>
          <cell r="CA212">
            <v>-20269640.899999999</v>
          </cell>
          <cell r="CB212">
            <v>-19262873.989999998</v>
          </cell>
          <cell r="CC212">
            <v>-13135641.529999999</v>
          </cell>
          <cell r="CD212">
            <v>-16323161.6</v>
          </cell>
          <cell r="CE212">
            <v>-17584058.649999999</v>
          </cell>
          <cell r="CF212">
            <v>-17948094.5</v>
          </cell>
          <cell r="CG212">
            <v>-25132074.09</v>
          </cell>
          <cell r="CH212">
            <v>-22817721.239999998</v>
          </cell>
          <cell r="CI212">
            <v>-27453822.949999999</v>
          </cell>
          <cell r="CJ212">
            <v>-14838057.23</v>
          </cell>
          <cell r="CK212">
            <v>-23793617.09</v>
          </cell>
          <cell r="CL212">
            <v>-25790474.5</v>
          </cell>
          <cell r="CM212">
            <v>-17400076.300000001</v>
          </cell>
          <cell r="CN212">
            <v>-12857315.23</v>
          </cell>
          <cell r="CO212">
            <v>-19027548.370000001</v>
          </cell>
          <cell r="CP212">
            <v>-14145138.640000001</v>
          </cell>
          <cell r="CQ212">
            <v>-17713023.34</v>
          </cell>
          <cell r="CR212">
            <v>-19562990.41</v>
          </cell>
          <cell r="CS212">
            <v>-23096137.780000001</v>
          </cell>
          <cell r="CT212">
            <v>-20621567.210000001</v>
          </cell>
          <cell r="CU212">
            <v>-15356076.060000001</v>
          </cell>
          <cell r="CV212">
            <v>-17818962.690000001</v>
          </cell>
          <cell r="CW212">
            <v>-17180427.25</v>
          </cell>
          <cell r="CX212">
            <v>-16334116.039999999</v>
          </cell>
          <cell r="CY212">
            <v>-21979419.059999999</v>
          </cell>
          <cell r="CZ212">
            <v>-18462016.140000001</v>
          </cell>
          <cell r="DA212">
            <v>-22457990.010000002</v>
          </cell>
          <cell r="DB212">
            <v>-14790891.289999999</v>
          </cell>
          <cell r="DC212">
            <v>-20098486.260000002</v>
          </cell>
          <cell r="DD212">
            <v>-11545970.119999999</v>
          </cell>
          <cell r="DE212">
            <v>-14349614.800000001</v>
          </cell>
          <cell r="DF212">
            <v>-16895458.149999999</v>
          </cell>
          <cell r="DG212">
            <v>-31442791.030000001</v>
          </cell>
          <cell r="DH212">
            <v>-223356142.84</v>
          </cell>
        </row>
        <row r="213">
          <cell r="A213" t="str">
            <v>6300100</v>
          </cell>
          <cell r="B213" t="str">
            <v>6300100</v>
          </cell>
          <cell r="C213" t="str">
            <v>Cost of Natural Gas</v>
          </cell>
          <cell r="D213">
            <v>18105919.899999999</v>
          </cell>
          <cell r="E213">
            <v>11602181.73</v>
          </cell>
          <cell r="F213">
            <v>12686883</v>
          </cell>
          <cell r="G213">
            <v>12086457</v>
          </cell>
          <cell r="H213">
            <v>9420941.6699999999</v>
          </cell>
          <cell r="I213">
            <v>5731486.1900000004</v>
          </cell>
          <cell r="J213">
            <v>8346912.8799999999</v>
          </cell>
          <cell r="K213">
            <v>10812765.630000001</v>
          </cell>
          <cell r="L213">
            <v>8469017.3599999994</v>
          </cell>
          <cell r="M213">
            <v>11192484.050000001</v>
          </cell>
          <cell r="N213">
            <v>16009560.039999999</v>
          </cell>
          <cell r="O213">
            <v>11324338.800000001</v>
          </cell>
          <cell r="P213">
            <v>14825671.380000001</v>
          </cell>
          <cell r="Q213">
            <v>15652198.92</v>
          </cell>
          <cell r="R213">
            <v>10931992.43</v>
          </cell>
          <cell r="S213">
            <v>12498894.16</v>
          </cell>
          <cell r="T213">
            <v>8506871.3100000005</v>
          </cell>
          <cell r="U213">
            <v>8923816.9399999995</v>
          </cell>
          <cell r="V213">
            <v>9406895.6999999993</v>
          </cell>
          <cell r="W213">
            <v>10436143.99</v>
          </cell>
          <cell r="X213">
            <v>9882010.9800000004</v>
          </cell>
          <cell r="Y213">
            <v>12510965.26</v>
          </cell>
          <cell r="Z213">
            <v>15720217.380000001</v>
          </cell>
          <cell r="AA213">
            <v>10536563.08</v>
          </cell>
          <cell r="AB213">
            <v>16105783.779999999</v>
          </cell>
          <cell r="AC213">
            <v>13782660.32</v>
          </cell>
          <cell r="AD213">
            <v>12768613.58</v>
          </cell>
          <cell r="AE213">
            <v>13301925.08</v>
          </cell>
          <cell r="AF213">
            <v>8937794.4000000004</v>
          </cell>
          <cell r="AG213">
            <v>9252533.5999999996</v>
          </cell>
          <cell r="AH213">
            <v>13531048.470000001</v>
          </cell>
          <cell r="AI213">
            <v>12901237.91</v>
          </cell>
          <cell r="AJ213">
            <v>12804956.369999999</v>
          </cell>
          <cell r="AK213">
            <v>15335376.369999999</v>
          </cell>
          <cell r="AL213">
            <v>11592605.810000001</v>
          </cell>
          <cell r="AM213">
            <v>11517591.68</v>
          </cell>
          <cell r="AN213">
            <v>13504230.890000001</v>
          </cell>
          <cell r="AO213">
            <v>9504398.3399999999</v>
          </cell>
          <cell r="AP213">
            <v>13430759.23</v>
          </cell>
          <cell r="AQ213">
            <v>12495027.68</v>
          </cell>
          <cell r="AR213">
            <v>11630458.27</v>
          </cell>
          <cell r="AS213">
            <v>10131478.07</v>
          </cell>
          <cell r="AT213">
            <v>12512459.17</v>
          </cell>
          <cell r="AU213">
            <v>17511907.039999999</v>
          </cell>
          <cell r="AV213">
            <v>14939705.18</v>
          </cell>
          <cell r="AW213">
            <v>13196656.939999999</v>
          </cell>
          <cell r="AX213">
            <v>13137387.17</v>
          </cell>
          <cell r="AY213">
            <v>16023757.890000001</v>
          </cell>
          <cell r="AZ213">
            <v>22850159.550000001</v>
          </cell>
          <cell r="BA213">
            <v>10479371.15</v>
          </cell>
          <cell r="BB213">
            <v>13100817.23</v>
          </cell>
          <cell r="BC213">
            <v>10036230.720000001</v>
          </cell>
          <cell r="BD213">
            <v>11484805.76</v>
          </cell>
          <cell r="BE213">
            <v>13247636.26</v>
          </cell>
          <cell r="BF213">
            <v>15100103.23</v>
          </cell>
          <cell r="BG213">
            <v>12089027.41</v>
          </cell>
          <cell r="BH213">
            <v>13588410.550000001</v>
          </cell>
          <cell r="BI213">
            <v>19128918.210000001</v>
          </cell>
          <cell r="BJ213">
            <v>20013525.68</v>
          </cell>
          <cell r="BK213">
            <v>18583372.300000001</v>
          </cell>
          <cell r="BL213">
            <v>17350300.109999999</v>
          </cell>
          <cell r="BM213">
            <v>11075186.949999999</v>
          </cell>
          <cell r="BN213">
            <v>13477264.609999999</v>
          </cell>
          <cell r="BO213">
            <v>11273393.310000001</v>
          </cell>
          <cell r="BP213">
            <v>11248857.689999999</v>
          </cell>
          <cell r="BQ213">
            <v>8517872.1799999997</v>
          </cell>
          <cell r="BR213">
            <v>9280612.1799999997</v>
          </cell>
          <cell r="BS213">
            <v>9764698.5999999996</v>
          </cell>
          <cell r="BT213">
            <v>12076834.630000001</v>
          </cell>
          <cell r="BU213">
            <v>13743771.84</v>
          </cell>
          <cell r="BV213">
            <v>13500749.42</v>
          </cell>
          <cell r="BW213">
            <v>13096438.33</v>
          </cell>
          <cell r="BX213">
            <v>13493076.57</v>
          </cell>
          <cell r="BY213">
            <v>10334309.369999999</v>
          </cell>
          <cell r="BZ213">
            <v>10126684.189999999</v>
          </cell>
          <cell r="CA213">
            <v>7952411.9699999997</v>
          </cell>
          <cell r="CB213">
            <v>8437533.1799999997</v>
          </cell>
          <cell r="CC213">
            <v>8310039.6200000001</v>
          </cell>
          <cell r="CD213">
            <v>9085074.0299999993</v>
          </cell>
          <cell r="CE213">
            <v>8414571.3300000001</v>
          </cell>
          <cell r="CF213">
            <v>7972076.46</v>
          </cell>
          <cell r="CG213">
            <v>11023452.66</v>
          </cell>
          <cell r="CH213">
            <v>13391809.560000001</v>
          </cell>
          <cell r="CI213">
            <v>16571536.16</v>
          </cell>
          <cell r="CJ213">
            <v>16439776.35</v>
          </cell>
          <cell r="CK213">
            <v>18676790.91</v>
          </cell>
          <cell r="CL213">
            <v>15324503.220000001</v>
          </cell>
          <cell r="CM213">
            <v>10097628.68</v>
          </cell>
          <cell r="CN213">
            <v>8721040.3200000003</v>
          </cell>
          <cell r="CO213">
            <v>10220210.140000001</v>
          </cell>
          <cell r="CP213">
            <v>10217298.949999999</v>
          </cell>
          <cell r="CQ213">
            <v>10822638.75</v>
          </cell>
          <cell r="CR213">
            <v>11678964.1</v>
          </cell>
          <cell r="CS213">
            <v>20588212.010000002</v>
          </cell>
          <cell r="CT213">
            <v>19603443.129999999</v>
          </cell>
          <cell r="CU213">
            <v>16290393.84</v>
          </cell>
          <cell r="CV213">
            <v>23767789.120000001</v>
          </cell>
          <cell r="CW213">
            <v>19580069.57</v>
          </cell>
          <cell r="CX213">
            <v>19768515.300000001</v>
          </cell>
          <cell r="CY213">
            <v>17741192.789999999</v>
          </cell>
          <cell r="CZ213">
            <v>25236867.84</v>
          </cell>
          <cell r="DA213">
            <v>22782810.190000001</v>
          </cell>
          <cell r="DB213">
            <v>21450416.210000001</v>
          </cell>
          <cell r="DC213">
            <v>23022641.379999999</v>
          </cell>
          <cell r="DD213">
            <v>15361180.630000001</v>
          </cell>
          <cell r="DE213">
            <v>17226748.559999999</v>
          </cell>
          <cell r="DF213">
            <v>21604629.300000001</v>
          </cell>
          <cell r="DG213">
            <v>25164343.690000001</v>
          </cell>
          <cell r="DH213">
            <v>252707204.58000001</v>
          </cell>
        </row>
        <row r="214">
          <cell r="A214" t="str">
            <v>6400010</v>
          </cell>
          <cell r="B214" t="str">
            <v>6400010</v>
          </cell>
          <cell r="C214" t="str">
            <v>M&amp;S FurnOffEquip</v>
          </cell>
          <cell r="D214">
            <v>68495.710000000006</v>
          </cell>
          <cell r="E214">
            <v>7163.99</v>
          </cell>
          <cell r="F214">
            <v>5141.7299999999996</v>
          </cell>
          <cell r="G214">
            <v>52546.87</v>
          </cell>
          <cell r="H214">
            <v>41383.300000000003</v>
          </cell>
          <cell r="I214">
            <v>182095.34</v>
          </cell>
          <cell r="J214">
            <v>157866.89000000001</v>
          </cell>
          <cell r="K214">
            <v>24350.3</v>
          </cell>
          <cell r="L214">
            <v>10517.69</v>
          </cell>
          <cell r="M214">
            <v>15802.42</v>
          </cell>
          <cell r="N214">
            <v>11435.05</v>
          </cell>
          <cell r="O214">
            <v>3330.22</v>
          </cell>
          <cell r="P214">
            <v>5170.96</v>
          </cell>
          <cell r="Q214">
            <v>2678.79</v>
          </cell>
          <cell r="R214">
            <v>10497.72</v>
          </cell>
          <cell r="S214">
            <v>35757.17</v>
          </cell>
          <cell r="T214">
            <v>6921.41</v>
          </cell>
          <cell r="U214">
            <v>451140.19</v>
          </cell>
          <cell r="V214">
            <v>22376.18</v>
          </cell>
          <cell r="W214">
            <v>-3033.91</v>
          </cell>
          <cell r="X214">
            <v>19865.05</v>
          </cell>
          <cell r="Y214">
            <v>29705.11</v>
          </cell>
          <cell r="Z214">
            <v>4578.6099999999997</v>
          </cell>
          <cell r="AA214">
            <v>83257.66</v>
          </cell>
          <cell r="AB214">
            <v>15721.58</v>
          </cell>
          <cell r="AC214">
            <v>49543.23</v>
          </cell>
          <cell r="AD214">
            <v>8032.97</v>
          </cell>
          <cell r="AE214">
            <v>350844.21</v>
          </cell>
          <cell r="AF214">
            <v>8141.45</v>
          </cell>
          <cell r="AG214">
            <v>42720.41</v>
          </cell>
          <cell r="AH214">
            <v>249977.68</v>
          </cell>
          <cell r="AI214">
            <v>8734.59</v>
          </cell>
          <cell r="AJ214">
            <v>46836.88</v>
          </cell>
          <cell r="AK214">
            <v>8759.7999999999993</v>
          </cell>
          <cell r="AL214">
            <v>119126.01</v>
          </cell>
          <cell r="AM214">
            <v>20748.38</v>
          </cell>
          <cell r="AN214">
            <v>1768.47</v>
          </cell>
          <cell r="AO214">
            <v>47423.040000000001</v>
          </cell>
          <cell r="AP214">
            <v>38504.230000000003</v>
          </cell>
          <cell r="AQ214">
            <v>24291.119999999999</v>
          </cell>
          <cell r="AR214">
            <v>18188.009999999998</v>
          </cell>
          <cell r="AS214">
            <v>24473.46</v>
          </cell>
          <cell r="AT214">
            <v>14125.66</v>
          </cell>
          <cell r="AU214">
            <v>55732.31</v>
          </cell>
          <cell r="AV214">
            <v>11555.11</v>
          </cell>
          <cell r="AW214">
            <v>21972.720000000001</v>
          </cell>
          <cell r="AX214">
            <v>24864.01</v>
          </cell>
          <cell r="AY214">
            <v>17491.91</v>
          </cell>
          <cell r="AZ214">
            <v>40604.879999999997</v>
          </cell>
          <cell r="BA214">
            <v>19529.95</v>
          </cell>
          <cell r="BB214">
            <v>100464.25</v>
          </cell>
          <cell r="BC214">
            <v>22400.94</v>
          </cell>
          <cell r="BD214">
            <v>25343.77</v>
          </cell>
          <cell r="BE214">
            <v>32845.18</v>
          </cell>
          <cell r="BF214">
            <v>19213.54</v>
          </cell>
          <cell r="BG214">
            <v>24677.62</v>
          </cell>
          <cell r="BH214">
            <v>96511.86</v>
          </cell>
          <cell r="BI214">
            <v>79330.12</v>
          </cell>
          <cell r="BJ214">
            <v>37453.58</v>
          </cell>
          <cell r="BK214">
            <v>44755.37</v>
          </cell>
          <cell r="BL214">
            <v>26408.880000000001</v>
          </cell>
          <cell r="BM214">
            <v>21110.57</v>
          </cell>
          <cell r="BN214">
            <v>33346.74</v>
          </cell>
          <cell r="BO214">
            <v>21649.4</v>
          </cell>
          <cell r="BP214">
            <v>26343.69</v>
          </cell>
          <cell r="BQ214">
            <v>373401.74</v>
          </cell>
          <cell r="BR214">
            <v>13471.46</v>
          </cell>
          <cell r="BS214">
            <v>328192.03000000003</v>
          </cell>
          <cell r="BT214">
            <v>216286.12</v>
          </cell>
          <cell r="BU214">
            <v>48639.25</v>
          </cell>
          <cell r="BV214">
            <v>50646.92</v>
          </cell>
          <cell r="BW214">
            <v>-81464.38</v>
          </cell>
          <cell r="BX214">
            <v>115103.48</v>
          </cell>
          <cell r="BY214">
            <v>26440.31</v>
          </cell>
          <cell r="BZ214">
            <v>1765.37</v>
          </cell>
          <cell r="CA214">
            <v>32538.47</v>
          </cell>
          <cell r="CB214">
            <v>13043.74</v>
          </cell>
          <cell r="CC214">
            <v>8392.2199999999993</v>
          </cell>
          <cell r="CD214">
            <v>41167.99</v>
          </cell>
          <cell r="CE214">
            <v>340636.15999999997</v>
          </cell>
          <cell r="CF214">
            <v>52837.79</v>
          </cell>
          <cell r="CG214">
            <v>100605.04</v>
          </cell>
          <cell r="CH214">
            <v>151455.14000000001</v>
          </cell>
          <cell r="CI214">
            <v>29752.959999999999</v>
          </cell>
          <cell r="CJ214">
            <v>11614.72</v>
          </cell>
          <cell r="CK214">
            <v>30652.49</v>
          </cell>
          <cell r="CL214">
            <v>16070.99</v>
          </cell>
          <cell r="CM214">
            <v>22249.35</v>
          </cell>
          <cell r="CN214">
            <v>19511.59</v>
          </cell>
          <cell r="CO214">
            <v>11113.8</v>
          </cell>
          <cell r="CP214">
            <v>63957.15</v>
          </cell>
          <cell r="CQ214">
            <v>56456.04</v>
          </cell>
          <cell r="CR214">
            <v>43871.360000000001</v>
          </cell>
          <cell r="CS214">
            <v>154121.44</v>
          </cell>
          <cell r="CT214">
            <v>132315.17000000001</v>
          </cell>
          <cell r="CU214">
            <v>712616.57</v>
          </cell>
          <cell r="CV214">
            <v>37367.410000000003</v>
          </cell>
          <cell r="CW214">
            <v>22695.87</v>
          </cell>
          <cell r="CX214">
            <v>42255.65</v>
          </cell>
          <cell r="CY214">
            <v>34356.959999999999</v>
          </cell>
          <cell r="CZ214">
            <v>100047.3</v>
          </cell>
          <cell r="DA214">
            <v>92881.29</v>
          </cell>
          <cell r="DB214">
            <v>38314.19</v>
          </cell>
          <cell r="DC214">
            <v>35032.949999999997</v>
          </cell>
          <cell r="DD214">
            <v>39601.199999999997</v>
          </cell>
          <cell r="DE214">
            <v>58427.91</v>
          </cell>
          <cell r="DF214">
            <v>17021.05</v>
          </cell>
          <cell r="DG214">
            <v>59934.82</v>
          </cell>
          <cell r="DH214">
            <v>577936.6</v>
          </cell>
        </row>
        <row r="215">
          <cell r="A215" t="str">
            <v>6400020</v>
          </cell>
          <cell r="B215" t="str">
            <v>6400020</v>
          </cell>
          <cell r="C215" t="str">
            <v>M&amp;S Gen Office</v>
          </cell>
          <cell r="D215">
            <v>36530.410000000003</v>
          </cell>
          <cell r="E215">
            <v>36950.78</v>
          </cell>
          <cell r="F215">
            <v>47434.34</v>
          </cell>
          <cell r="G215">
            <v>30852.73</v>
          </cell>
          <cell r="H215">
            <v>44195.47</v>
          </cell>
          <cell r="I215">
            <v>28288.76</v>
          </cell>
          <cell r="J215">
            <v>33155.9</v>
          </cell>
          <cell r="K215">
            <v>55802.92</v>
          </cell>
          <cell r="L215">
            <v>43879.92</v>
          </cell>
          <cell r="M215">
            <v>20387.84</v>
          </cell>
          <cell r="N215">
            <v>32201.91</v>
          </cell>
          <cell r="O215">
            <v>63303.27</v>
          </cell>
          <cell r="P215">
            <v>32198.38</v>
          </cell>
          <cell r="Q215">
            <v>30908.23</v>
          </cell>
          <cell r="R215">
            <v>45495.37</v>
          </cell>
          <cell r="S215">
            <v>31573.94</v>
          </cell>
          <cell r="T215">
            <v>15849.61</v>
          </cell>
          <cell r="U215">
            <v>57482.76</v>
          </cell>
          <cell r="V215">
            <v>37575.919999999998</v>
          </cell>
          <cell r="W215">
            <v>17921.439999999999</v>
          </cell>
          <cell r="X215">
            <v>49801.95</v>
          </cell>
          <cell r="Y215">
            <v>37656.120000000003</v>
          </cell>
          <cell r="Z215">
            <v>21408.81</v>
          </cell>
          <cell r="AA215">
            <v>72370.73</v>
          </cell>
          <cell r="AB215">
            <v>19110.7</v>
          </cell>
          <cell r="AC215">
            <v>42877.84</v>
          </cell>
          <cell r="AD215">
            <v>31480.89</v>
          </cell>
          <cell r="AE215">
            <v>24535.74</v>
          </cell>
          <cell r="AF215">
            <v>41424.910000000003</v>
          </cell>
          <cell r="AG215">
            <v>50014.83</v>
          </cell>
          <cell r="AH215">
            <v>22971.040000000001</v>
          </cell>
          <cell r="AI215">
            <v>17325.89</v>
          </cell>
          <cell r="AJ215">
            <v>34995.06</v>
          </cell>
          <cell r="AK215">
            <v>67312.17</v>
          </cell>
          <cell r="AL215">
            <v>44377.56</v>
          </cell>
          <cell r="AM215">
            <v>44202.04</v>
          </cell>
          <cell r="AN215">
            <v>18555.259999999998</v>
          </cell>
          <cell r="AO215">
            <v>22456.07</v>
          </cell>
          <cell r="AP215">
            <v>44480.71</v>
          </cell>
          <cell r="AQ215">
            <v>12434.07</v>
          </cell>
          <cell r="AR215">
            <v>19854.439999999999</v>
          </cell>
          <cell r="AS215">
            <v>93861.8</v>
          </cell>
          <cell r="AT215">
            <v>16407.04</v>
          </cell>
          <cell r="AU215">
            <v>21349.279999999999</v>
          </cell>
          <cell r="AV215">
            <v>14547.76</v>
          </cell>
          <cell r="AW215">
            <v>24918.52</v>
          </cell>
          <cell r="AX215">
            <v>17615.46</v>
          </cell>
          <cell r="AY215">
            <v>19894.88</v>
          </cell>
          <cell r="AZ215">
            <v>18876.66</v>
          </cell>
          <cell r="BA215">
            <v>17823.96</v>
          </cell>
          <cell r="BB215">
            <v>18856.88</v>
          </cell>
          <cell r="BC215">
            <v>20218.59</v>
          </cell>
          <cell r="BD215">
            <v>26005.64</v>
          </cell>
          <cell r="BE215">
            <v>94163.86</v>
          </cell>
          <cell r="BF215">
            <v>16982.98</v>
          </cell>
          <cell r="BG215">
            <v>473210.23</v>
          </cell>
          <cell r="BH215">
            <v>22989.88</v>
          </cell>
          <cell r="BI215">
            <v>84959.06</v>
          </cell>
          <cell r="BJ215">
            <v>33433.17</v>
          </cell>
          <cell r="BK215">
            <v>67293.149999999994</v>
          </cell>
          <cell r="BL215">
            <v>-18678.12</v>
          </cell>
          <cell r="BM215">
            <v>20723.97</v>
          </cell>
          <cell r="BN215">
            <v>26637.19</v>
          </cell>
          <cell r="BO215">
            <v>17572.830000000002</v>
          </cell>
          <cell r="BP215">
            <v>21003.7</v>
          </cell>
          <cell r="BQ215">
            <v>28050.75</v>
          </cell>
          <cell r="BR215">
            <v>28086.23</v>
          </cell>
          <cell r="BS215">
            <v>26879.86</v>
          </cell>
          <cell r="BT215">
            <v>23589.25</v>
          </cell>
          <cell r="BU215">
            <v>80923.240000000005</v>
          </cell>
          <cell r="BV215">
            <v>24473.55</v>
          </cell>
          <cell r="BW215">
            <v>74378.649999999994</v>
          </cell>
          <cell r="BX215">
            <v>11315.94</v>
          </cell>
          <cell r="BY215">
            <v>15035.15</v>
          </cell>
          <cell r="BZ215">
            <v>28203.24</v>
          </cell>
          <cell r="CA215">
            <v>17847.68</v>
          </cell>
          <cell r="CB215">
            <v>18671.7</v>
          </cell>
          <cell r="CC215">
            <v>12033.24</v>
          </cell>
          <cell r="CD215">
            <v>13204.91</v>
          </cell>
          <cell r="CE215">
            <v>14677.13</v>
          </cell>
          <cell r="CF215">
            <v>15511.02</v>
          </cell>
          <cell r="CG215">
            <v>15257.32</v>
          </cell>
          <cell r="CH215">
            <v>20594.150000000001</v>
          </cell>
          <cell r="CI215">
            <v>35280.400000000001</v>
          </cell>
          <cell r="CJ215">
            <v>3265.36</v>
          </cell>
          <cell r="CK215">
            <v>14783.21</v>
          </cell>
          <cell r="CL215">
            <v>16418.34</v>
          </cell>
          <cell r="CM215">
            <v>11566.62</v>
          </cell>
          <cell r="CN215">
            <v>6843.37</v>
          </cell>
          <cell r="CO215">
            <v>19953.45</v>
          </cell>
          <cell r="CP215">
            <v>14364.19</v>
          </cell>
          <cell r="CQ215">
            <v>12668.61</v>
          </cell>
          <cell r="CR215">
            <v>15794.95</v>
          </cell>
          <cell r="CS215">
            <v>15591.71</v>
          </cell>
          <cell r="CT215">
            <v>21782.32</v>
          </cell>
          <cell r="CU215">
            <v>113460.22</v>
          </cell>
          <cell r="CV215">
            <v>14377.78</v>
          </cell>
          <cell r="CW215">
            <v>18383.86</v>
          </cell>
          <cell r="CX215">
            <v>22928.95</v>
          </cell>
          <cell r="CY215">
            <v>19033.84</v>
          </cell>
          <cell r="CZ215">
            <v>18497</v>
          </cell>
          <cell r="DA215">
            <v>25257.51</v>
          </cell>
          <cell r="DB215">
            <v>16278.49</v>
          </cell>
          <cell r="DC215">
            <v>22916.59</v>
          </cell>
          <cell r="DD215">
            <v>12400.29</v>
          </cell>
          <cell r="DE215">
            <v>29993.25</v>
          </cell>
          <cell r="DF215">
            <v>29101.52</v>
          </cell>
          <cell r="DG215">
            <v>20002.78</v>
          </cell>
          <cell r="DH215">
            <v>249171.86</v>
          </cell>
        </row>
        <row r="216">
          <cell r="A216" t="str">
            <v>6400030</v>
          </cell>
          <cell r="B216" t="str">
            <v>6400030</v>
          </cell>
          <cell r="C216" t="str">
            <v>M&amp;S Chemicals</v>
          </cell>
          <cell r="D216">
            <v>0</v>
          </cell>
          <cell r="E216">
            <v>0</v>
          </cell>
          <cell r="F216">
            <v>0</v>
          </cell>
          <cell r="G216">
            <v>0</v>
          </cell>
          <cell r="H216">
            <v>0</v>
          </cell>
          <cell r="I216">
            <v>74.900000000000006</v>
          </cell>
          <cell r="J216">
            <v>74.900000000000006</v>
          </cell>
          <cell r="K216">
            <v>74.900000000000006</v>
          </cell>
          <cell r="L216">
            <v>74.900000000000006</v>
          </cell>
          <cell r="M216">
            <v>74.900000000000006</v>
          </cell>
          <cell r="N216">
            <v>74.900000000000006</v>
          </cell>
          <cell r="O216">
            <v>149.80000000000001</v>
          </cell>
          <cell r="P216">
            <v>0</v>
          </cell>
          <cell r="Q216">
            <v>74.900000000000006</v>
          </cell>
          <cell r="R216">
            <v>74.900000000000006</v>
          </cell>
          <cell r="S216">
            <v>0</v>
          </cell>
          <cell r="T216">
            <v>0</v>
          </cell>
          <cell r="U216">
            <v>0</v>
          </cell>
          <cell r="V216">
            <v>0</v>
          </cell>
          <cell r="W216">
            <v>0</v>
          </cell>
          <cell r="X216">
            <v>0</v>
          </cell>
          <cell r="Y216">
            <v>0</v>
          </cell>
          <cell r="Z216">
            <v>0</v>
          </cell>
          <cell r="AA216">
            <v>0</v>
          </cell>
          <cell r="AB216">
            <v>0</v>
          </cell>
          <cell r="AC216">
            <v>73.959999999999994</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69996</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row>
        <row r="217">
          <cell r="A217" t="str">
            <v>6400040</v>
          </cell>
          <cell r="B217" t="str">
            <v>6400040</v>
          </cell>
          <cell r="C217" t="str">
            <v>M&amp;S Lab</v>
          </cell>
          <cell r="AH217">
            <v>457.76</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Z217">
            <v>0</v>
          </cell>
          <cell r="BA217">
            <v>0</v>
          </cell>
          <cell r="BB217">
            <v>0</v>
          </cell>
          <cell r="BC217">
            <v>33.07</v>
          </cell>
          <cell r="BD217">
            <v>93.57</v>
          </cell>
          <cell r="BE217">
            <v>326.02999999999997</v>
          </cell>
          <cell r="BF217">
            <v>335.68</v>
          </cell>
          <cell r="BG217">
            <v>31.13</v>
          </cell>
          <cell r="BH217">
            <v>128.66</v>
          </cell>
          <cell r="BI217">
            <v>315.3</v>
          </cell>
          <cell r="BJ217">
            <v>644.16</v>
          </cell>
          <cell r="BK217">
            <v>447.91</v>
          </cell>
          <cell r="BL217">
            <v>0</v>
          </cell>
          <cell r="BM217">
            <v>28.18</v>
          </cell>
          <cell r="BN217">
            <v>14.05</v>
          </cell>
          <cell r="BO217">
            <v>0</v>
          </cell>
          <cell r="BP217">
            <v>211.83</v>
          </cell>
          <cell r="BQ217">
            <v>37.380000000000003</v>
          </cell>
          <cell r="BR217">
            <v>42.5</v>
          </cell>
          <cell r="BS217">
            <v>66.7</v>
          </cell>
          <cell r="BT217">
            <v>204.72</v>
          </cell>
          <cell r="BU217">
            <v>155.31</v>
          </cell>
          <cell r="BV217">
            <v>43.68</v>
          </cell>
          <cell r="BW217">
            <v>81.47</v>
          </cell>
          <cell r="BX217">
            <v>0</v>
          </cell>
          <cell r="BY217">
            <v>439.01</v>
          </cell>
          <cell r="BZ217">
            <v>111.06</v>
          </cell>
          <cell r="CA217">
            <v>154.46</v>
          </cell>
          <cell r="CB217">
            <v>135.66</v>
          </cell>
          <cell r="CC217">
            <v>157.19999999999999</v>
          </cell>
          <cell r="CD217">
            <v>18.48</v>
          </cell>
          <cell r="CE217">
            <v>29.21</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-120415.27</v>
          </cell>
          <cell r="DC217">
            <v>0</v>
          </cell>
          <cell r="DD217">
            <v>0</v>
          </cell>
          <cell r="DE217">
            <v>0</v>
          </cell>
          <cell r="DF217">
            <v>0</v>
          </cell>
          <cell r="DG217">
            <v>0</v>
          </cell>
          <cell r="DH217">
            <v>-120415.27</v>
          </cell>
        </row>
        <row r="218">
          <cell r="A218" t="str">
            <v>6400050</v>
          </cell>
          <cell r="B218" t="str">
            <v>6400050</v>
          </cell>
          <cell r="C218" t="str">
            <v>M&amp;S Lubricants</v>
          </cell>
          <cell r="D218">
            <v>0</v>
          </cell>
          <cell r="E218">
            <v>5982.5</v>
          </cell>
          <cell r="F218">
            <v>19727.59</v>
          </cell>
          <cell r="G218">
            <v>3635.69</v>
          </cell>
          <cell r="H218">
            <v>357.38</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42.78</v>
          </cell>
          <cell r="AA218">
            <v>0</v>
          </cell>
          <cell r="AB218">
            <v>0</v>
          </cell>
          <cell r="AC218">
            <v>0</v>
          </cell>
          <cell r="AD218">
            <v>0</v>
          </cell>
          <cell r="AE218">
            <v>0</v>
          </cell>
          <cell r="AF218">
            <v>0</v>
          </cell>
          <cell r="AG218">
            <v>0</v>
          </cell>
          <cell r="AH218">
            <v>0</v>
          </cell>
          <cell r="AI218">
            <v>0</v>
          </cell>
          <cell r="AJ218">
            <v>0</v>
          </cell>
          <cell r="AK218">
            <v>0</v>
          </cell>
          <cell r="AL218">
            <v>-35.950000000000003</v>
          </cell>
          <cell r="AM218">
            <v>0</v>
          </cell>
          <cell r="AN218">
            <v>0</v>
          </cell>
          <cell r="AO218">
            <v>0</v>
          </cell>
          <cell r="AP218">
            <v>0</v>
          </cell>
          <cell r="AQ218">
            <v>0</v>
          </cell>
          <cell r="AR218">
            <v>-28.19</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715.59</v>
          </cell>
          <cell r="CB218">
            <v>706.59</v>
          </cell>
          <cell r="CC218">
            <v>1134.08</v>
          </cell>
          <cell r="CD218">
            <v>471.05</v>
          </cell>
          <cell r="CE218">
            <v>471.05</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row>
        <row r="219">
          <cell r="A219" t="str">
            <v>6400060</v>
          </cell>
          <cell r="B219" t="str">
            <v>6400060</v>
          </cell>
          <cell r="C219" t="str">
            <v>M&amp;S Ops Consum</v>
          </cell>
          <cell r="D219">
            <v>51516.31</v>
          </cell>
          <cell r="E219">
            <v>50210.61</v>
          </cell>
          <cell r="F219">
            <v>28421.52</v>
          </cell>
          <cell r="G219">
            <v>20697.46</v>
          </cell>
          <cell r="H219">
            <v>67028.649999999994</v>
          </cell>
          <cell r="I219">
            <v>55957.760000000002</v>
          </cell>
          <cell r="J219">
            <v>15258.55</v>
          </cell>
          <cell r="K219">
            <v>21487.22</v>
          </cell>
          <cell r="L219">
            <v>102639.87</v>
          </cell>
          <cell r="M219">
            <v>67207.08</v>
          </cell>
          <cell r="N219">
            <v>35531.599999999999</v>
          </cell>
          <cell r="O219">
            <v>72754.84</v>
          </cell>
          <cell r="P219">
            <v>25184.11</v>
          </cell>
          <cell r="Q219">
            <v>34699.97</v>
          </cell>
          <cell r="R219">
            <v>18006.73</v>
          </cell>
          <cell r="S219">
            <v>58985.06</v>
          </cell>
          <cell r="T219">
            <v>53654.68</v>
          </cell>
          <cell r="U219">
            <v>32094.37</v>
          </cell>
          <cell r="V219">
            <v>100394.81</v>
          </cell>
          <cell r="W219">
            <v>23364.97</v>
          </cell>
          <cell r="X219">
            <v>61049.1</v>
          </cell>
          <cell r="Y219">
            <v>101684.81</v>
          </cell>
          <cell r="Z219">
            <v>45797.69</v>
          </cell>
          <cell r="AA219">
            <v>88843.14</v>
          </cell>
          <cell r="AB219">
            <v>29990.21</v>
          </cell>
          <cell r="AC219">
            <v>67798.009999999995</v>
          </cell>
          <cell r="AD219">
            <v>57003.41</v>
          </cell>
          <cell r="AE219">
            <v>36139.47</v>
          </cell>
          <cell r="AF219">
            <v>65630.460000000006</v>
          </cell>
          <cell r="AG219">
            <v>56090.87</v>
          </cell>
          <cell r="AH219">
            <v>44639.37</v>
          </cell>
          <cell r="AI219">
            <v>84099.06</v>
          </cell>
          <cell r="AJ219">
            <v>40610.949999999997</v>
          </cell>
          <cell r="AK219">
            <v>52495.58</v>
          </cell>
          <cell r="AL219">
            <v>30154.77</v>
          </cell>
          <cell r="AM219">
            <v>36490.5</v>
          </cell>
          <cell r="AN219">
            <v>2797.38</v>
          </cell>
          <cell r="AO219">
            <v>6077.08</v>
          </cell>
          <cell r="AP219">
            <v>28654.78</v>
          </cell>
          <cell r="AQ219">
            <v>2257.1799999999998</v>
          </cell>
          <cell r="AR219">
            <v>2472.85</v>
          </cell>
          <cell r="AS219">
            <v>11189.43</v>
          </cell>
          <cell r="AT219">
            <v>4153.9799999999996</v>
          </cell>
          <cell r="AU219">
            <v>4168.82</v>
          </cell>
          <cell r="AV219">
            <v>4536.13</v>
          </cell>
          <cell r="AW219">
            <v>4037.46</v>
          </cell>
          <cell r="AX219">
            <v>4250.32</v>
          </cell>
          <cell r="AY219">
            <v>2575.6799999999998</v>
          </cell>
          <cell r="AZ219">
            <v>2104.8200000000002</v>
          </cell>
          <cell r="BA219">
            <v>1766.31</v>
          </cell>
          <cell r="BB219">
            <v>2325.38</v>
          </cell>
          <cell r="BC219">
            <v>4417.07</v>
          </cell>
          <cell r="BD219">
            <v>4934.4799999999996</v>
          </cell>
          <cell r="BE219">
            <v>2938.25</v>
          </cell>
          <cell r="BF219">
            <v>2152.15</v>
          </cell>
          <cell r="BG219">
            <v>2701.76</v>
          </cell>
          <cell r="BH219">
            <v>2957.12</v>
          </cell>
          <cell r="BI219">
            <v>6518</v>
          </cell>
          <cell r="BJ219">
            <v>2093.59</v>
          </cell>
          <cell r="BK219">
            <v>3031.16</v>
          </cell>
          <cell r="BL219">
            <v>11001.94</v>
          </cell>
          <cell r="BM219">
            <v>2728.13</v>
          </cell>
          <cell r="BN219">
            <v>2308.42</v>
          </cell>
          <cell r="BO219">
            <v>2430.61</v>
          </cell>
          <cell r="BP219">
            <v>2734.42</v>
          </cell>
          <cell r="BQ219">
            <v>5909.83</v>
          </cell>
          <cell r="BR219">
            <v>-522.36</v>
          </cell>
          <cell r="BS219">
            <v>2385.65</v>
          </cell>
          <cell r="BT219">
            <v>3012.31</v>
          </cell>
          <cell r="BU219">
            <v>5122.41</v>
          </cell>
          <cell r="BV219">
            <v>1211.8800000000001</v>
          </cell>
          <cell r="BW219">
            <v>4354.2299999999996</v>
          </cell>
          <cell r="BX219">
            <v>5895.93</v>
          </cell>
          <cell r="BY219">
            <v>768.59</v>
          </cell>
          <cell r="BZ219">
            <v>3076.61</v>
          </cell>
          <cell r="CA219">
            <v>2548.9699999999998</v>
          </cell>
          <cell r="CB219">
            <v>2880.33</v>
          </cell>
          <cell r="CC219">
            <v>1412.08</v>
          </cell>
          <cell r="CD219">
            <v>4518.3500000000004</v>
          </cell>
          <cell r="CE219">
            <v>6890.35</v>
          </cell>
          <cell r="CF219">
            <v>1702.31</v>
          </cell>
          <cell r="CG219">
            <v>1750.98</v>
          </cell>
          <cell r="CH219">
            <v>521.70000000000005</v>
          </cell>
          <cell r="CI219">
            <v>1679.4</v>
          </cell>
          <cell r="CJ219">
            <v>6396.43</v>
          </cell>
          <cell r="CK219">
            <v>3231.97</v>
          </cell>
          <cell r="CL219">
            <v>1048.6099999999999</v>
          </cell>
          <cell r="CM219">
            <v>2215.1999999999998</v>
          </cell>
          <cell r="CN219">
            <v>4066.47</v>
          </cell>
          <cell r="CO219">
            <v>3825.85</v>
          </cell>
          <cell r="CP219">
            <v>2242.44</v>
          </cell>
          <cell r="CQ219">
            <v>6391.32</v>
          </cell>
          <cell r="CR219">
            <v>3197.14</v>
          </cell>
          <cell r="CS219">
            <v>1942.11</v>
          </cell>
          <cell r="CT219">
            <v>2816.38</v>
          </cell>
          <cell r="CU219">
            <v>3100.44</v>
          </cell>
          <cell r="CV219">
            <v>4265.41</v>
          </cell>
          <cell r="CW219">
            <v>1394.11</v>
          </cell>
          <cell r="CX219">
            <v>-3014.55</v>
          </cell>
          <cell r="CY219">
            <v>2751.07</v>
          </cell>
          <cell r="CZ219">
            <v>2421.35</v>
          </cell>
          <cell r="DA219">
            <v>3062.64</v>
          </cell>
          <cell r="DB219">
            <v>1965.29</v>
          </cell>
          <cell r="DC219">
            <v>3364.31</v>
          </cell>
          <cell r="DD219">
            <v>2101.92</v>
          </cell>
          <cell r="DE219">
            <v>1557.95</v>
          </cell>
          <cell r="DF219">
            <v>1888.88</v>
          </cell>
          <cell r="DG219">
            <v>1430.22</v>
          </cell>
          <cell r="DH219">
            <v>23188.600000000002</v>
          </cell>
        </row>
        <row r="220">
          <cell r="A220" t="str">
            <v>6400070</v>
          </cell>
          <cell r="B220" t="str">
            <v>6400070</v>
          </cell>
          <cell r="C220" t="str">
            <v>M&amp;S Safety</v>
          </cell>
          <cell r="D220">
            <v>5079.3500000000004</v>
          </cell>
          <cell r="E220">
            <v>14155.06</v>
          </cell>
          <cell r="F220">
            <v>2316.86</v>
          </cell>
          <cell r="G220">
            <v>5412.14</v>
          </cell>
          <cell r="H220">
            <v>6259.31</v>
          </cell>
          <cell r="I220">
            <v>3929.48</v>
          </cell>
          <cell r="J220">
            <v>2823.41</v>
          </cell>
          <cell r="K220">
            <v>8236.89</v>
          </cell>
          <cell r="L220">
            <v>3411.09</v>
          </cell>
          <cell r="M220">
            <v>4925.08</v>
          </cell>
          <cell r="N220">
            <v>9135.19</v>
          </cell>
          <cell r="O220">
            <v>2378.16</v>
          </cell>
          <cell r="P220">
            <v>10665.16</v>
          </cell>
          <cell r="Q220">
            <v>2514.88</v>
          </cell>
          <cell r="R220">
            <v>2889.04</v>
          </cell>
          <cell r="S220">
            <v>1605.72</v>
          </cell>
          <cell r="T220">
            <v>3587.7</v>
          </cell>
          <cell r="U220">
            <v>8145.14</v>
          </cell>
          <cell r="V220">
            <v>2431.94</v>
          </cell>
          <cell r="W220">
            <v>379.31</v>
          </cell>
          <cell r="X220">
            <v>10438.99</v>
          </cell>
          <cell r="Y220">
            <v>10052.34</v>
          </cell>
          <cell r="Z220">
            <v>17512.27</v>
          </cell>
          <cell r="AA220">
            <v>12620.32</v>
          </cell>
          <cell r="AB220">
            <v>9369.2199999999993</v>
          </cell>
          <cell r="AC220">
            <v>13044.06</v>
          </cell>
          <cell r="AD220">
            <v>6800.26</v>
          </cell>
          <cell r="AE220">
            <v>2882.38</v>
          </cell>
          <cell r="AF220">
            <v>4228.2299999999996</v>
          </cell>
          <cell r="AG220">
            <v>6527.87</v>
          </cell>
          <cell r="AH220">
            <v>10158.75</v>
          </cell>
          <cell r="AI220">
            <v>10426.73</v>
          </cell>
          <cell r="AJ220">
            <v>7853.2</v>
          </cell>
          <cell r="AK220">
            <v>12274.71</v>
          </cell>
          <cell r="AL220">
            <v>12665.66</v>
          </cell>
          <cell r="AM220">
            <v>7675.62</v>
          </cell>
          <cell r="AN220">
            <v>3941.17</v>
          </cell>
          <cell r="AO220">
            <v>4611.17</v>
          </cell>
          <cell r="AP220">
            <v>20343.11</v>
          </cell>
          <cell r="AQ220">
            <v>5028.2</v>
          </cell>
          <cell r="AR220">
            <v>24775.15</v>
          </cell>
          <cell r="AS220">
            <v>22786.54</v>
          </cell>
          <cell r="AT220">
            <v>3224.83</v>
          </cell>
          <cell r="AU220">
            <v>4838.1400000000003</v>
          </cell>
          <cell r="AV220">
            <v>12467.73</v>
          </cell>
          <cell r="AW220">
            <v>10652.15</v>
          </cell>
          <cell r="AX220">
            <v>3250.04</v>
          </cell>
          <cell r="AY220">
            <v>19886.52</v>
          </cell>
          <cell r="AZ220">
            <v>21337.19</v>
          </cell>
          <cell r="BA220">
            <v>70232.12</v>
          </cell>
          <cell r="BB220">
            <v>5394.94</v>
          </cell>
          <cell r="BC220">
            <v>3356.5</v>
          </cell>
          <cell r="BD220">
            <v>16940.53</v>
          </cell>
          <cell r="BE220">
            <v>4316.74</v>
          </cell>
          <cell r="BF220">
            <v>6758.11</v>
          </cell>
          <cell r="BG220">
            <v>4121.03</v>
          </cell>
          <cell r="BH220">
            <v>2563.23</v>
          </cell>
          <cell r="BI220">
            <v>5299.41</v>
          </cell>
          <cell r="BJ220">
            <v>17058.8</v>
          </cell>
          <cell r="BK220">
            <v>16769.52</v>
          </cell>
          <cell r="BL220">
            <v>4486.09</v>
          </cell>
          <cell r="BM220">
            <v>11106.36</v>
          </cell>
          <cell r="BN220">
            <v>13855.78</v>
          </cell>
          <cell r="BO220">
            <v>6728.34</v>
          </cell>
          <cell r="BP220">
            <v>9187.1</v>
          </cell>
          <cell r="BQ220">
            <v>2932.87</v>
          </cell>
          <cell r="BR220">
            <v>3966.98</v>
          </cell>
          <cell r="BS220">
            <v>5712.92</v>
          </cell>
          <cell r="BT220">
            <v>10553.84</v>
          </cell>
          <cell r="BU220">
            <v>22310.84</v>
          </cell>
          <cell r="BV220">
            <v>764.59</v>
          </cell>
          <cell r="BW220">
            <v>12667.24</v>
          </cell>
          <cell r="BX220">
            <v>18356.02</v>
          </cell>
          <cell r="BY220">
            <v>13929.51</v>
          </cell>
          <cell r="BZ220">
            <v>6289.38</v>
          </cell>
          <cell r="CA220">
            <v>7939.36</v>
          </cell>
          <cell r="CB220">
            <v>80183.94</v>
          </cell>
          <cell r="CC220">
            <v>85886.18</v>
          </cell>
          <cell r="CD220">
            <v>9066.68</v>
          </cell>
          <cell r="CE220">
            <v>4779.26</v>
          </cell>
          <cell r="CF220">
            <v>5708.16</v>
          </cell>
          <cell r="CG220">
            <v>11160.78</v>
          </cell>
          <cell r="CH220">
            <v>8781.0300000000007</v>
          </cell>
          <cell r="CI220">
            <v>4235.91</v>
          </cell>
          <cell r="CJ220">
            <v>5983.46</v>
          </cell>
          <cell r="CK220">
            <v>20117.11</v>
          </cell>
          <cell r="CL220">
            <v>4552.57</v>
          </cell>
          <cell r="CM220">
            <v>31633.7</v>
          </cell>
          <cell r="CN220">
            <v>20291.13</v>
          </cell>
          <cell r="CO220">
            <v>5820.95</v>
          </cell>
          <cell r="CP220">
            <v>4516.37</v>
          </cell>
          <cell r="CQ220">
            <v>2019.85</v>
          </cell>
          <cell r="CR220">
            <v>6353.46</v>
          </cell>
          <cell r="CS220">
            <v>8894.76</v>
          </cell>
          <cell r="CT220">
            <v>227058.51</v>
          </cell>
          <cell r="CU220">
            <v>21430.35</v>
          </cell>
          <cell r="CV220">
            <v>11645.38</v>
          </cell>
          <cell r="CW220">
            <v>14712.72</v>
          </cell>
          <cell r="CX220">
            <v>15840.8</v>
          </cell>
          <cell r="CY220">
            <v>6782.9</v>
          </cell>
          <cell r="CZ220">
            <v>21342.639999999999</v>
          </cell>
          <cell r="DA220">
            <v>7850.54</v>
          </cell>
          <cell r="DB220">
            <v>15738.5</v>
          </cell>
          <cell r="DC220">
            <v>7797.03</v>
          </cell>
          <cell r="DD220">
            <v>2221.7800000000002</v>
          </cell>
          <cell r="DE220">
            <v>7444.85</v>
          </cell>
          <cell r="DF220">
            <v>10421.299999999999</v>
          </cell>
          <cell r="DG220">
            <v>116023.16</v>
          </cell>
          <cell r="DH220">
            <v>237821.6</v>
          </cell>
        </row>
        <row r="221">
          <cell r="A221" t="str">
            <v>6400080</v>
          </cell>
          <cell r="B221" t="str">
            <v>6400080</v>
          </cell>
          <cell r="C221" t="str">
            <v>M&amp;S Vehicle Fuel</v>
          </cell>
          <cell r="D221">
            <v>22751.82</v>
          </cell>
          <cell r="E221">
            <v>24321.91</v>
          </cell>
          <cell r="F221">
            <v>35729.620000000003</v>
          </cell>
          <cell r="G221">
            <v>20301.310000000001</v>
          </cell>
          <cell r="H221">
            <v>588.9</v>
          </cell>
          <cell r="I221">
            <v>6639.82</v>
          </cell>
          <cell r="J221">
            <v>3576.89</v>
          </cell>
          <cell r="K221">
            <v>25448.18</v>
          </cell>
          <cell r="L221">
            <v>31390.14</v>
          </cell>
          <cell r="M221">
            <v>18962.95</v>
          </cell>
          <cell r="N221">
            <v>17207.39</v>
          </cell>
          <cell r="O221">
            <v>13948.32</v>
          </cell>
          <cell r="P221">
            <v>11696.42</v>
          </cell>
          <cell r="Q221">
            <v>10989</v>
          </cell>
          <cell r="R221">
            <v>10652.99</v>
          </cell>
          <cell r="S221">
            <v>12982.01</v>
          </cell>
          <cell r="T221">
            <v>14079.39</v>
          </cell>
          <cell r="U221">
            <v>17919.349999999999</v>
          </cell>
          <cell r="V221">
            <v>14370.34</v>
          </cell>
          <cell r="W221">
            <v>11217.3</v>
          </cell>
          <cell r="X221">
            <v>12292.5</v>
          </cell>
          <cell r="Y221">
            <v>260.57</v>
          </cell>
          <cell r="Z221">
            <v>1368.87</v>
          </cell>
          <cell r="AA221">
            <v>1550.5</v>
          </cell>
          <cell r="AB221">
            <v>948</v>
          </cell>
          <cell r="AC221">
            <v>1826.91</v>
          </cell>
          <cell r="AD221">
            <v>979.98</v>
          </cell>
          <cell r="AE221">
            <v>1539.65</v>
          </cell>
          <cell r="AF221">
            <v>773.05</v>
          </cell>
          <cell r="AG221">
            <v>1944</v>
          </cell>
          <cell r="AH221">
            <v>2185.12</v>
          </cell>
          <cell r="AI221">
            <v>2430.5100000000002</v>
          </cell>
          <cell r="AJ221">
            <v>999.89</v>
          </cell>
          <cell r="AK221">
            <v>1023.39</v>
          </cell>
          <cell r="AL221">
            <v>1229.6500000000001</v>
          </cell>
          <cell r="AM221">
            <v>1617.21</v>
          </cell>
          <cell r="AN221">
            <v>553</v>
          </cell>
          <cell r="AO221">
            <v>1136</v>
          </cell>
          <cell r="AP221">
            <v>992.79</v>
          </cell>
          <cell r="AQ221">
            <v>510.79</v>
          </cell>
          <cell r="AR221">
            <v>3539.88</v>
          </cell>
          <cell r="AS221">
            <v>1257.24</v>
          </cell>
          <cell r="AT221">
            <v>430.69</v>
          </cell>
          <cell r="AU221">
            <v>600.4</v>
          </cell>
          <cell r="AV221">
            <v>884.27</v>
          </cell>
          <cell r="AW221">
            <v>4299.07</v>
          </cell>
          <cell r="AX221">
            <v>1604.05</v>
          </cell>
          <cell r="AY221">
            <v>9831.17</v>
          </cell>
          <cell r="AZ221">
            <v>442</v>
          </cell>
          <cell r="BA221">
            <v>1122.04</v>
          </cell>
          <cell r="BB221">
            <v>839.13</v>
          </cell>
          <cell r="BC221">
            <v>1685.08</v>
          </cell>
          <cell r="BD221">
            <v>1299.03</v>
          </cell>
          <cell r="BE221">
            <v>6505.62</v>
          </cell>
          <cell r="BF221">
            <v>1273.8900000000001</v>
          </cell>
          <cell r="BG221">
            <v>-3696.17</v>
          </cell>
          <cell r="BH221">
            <v>1190.23</v>
          </cell>
          <cell r="BI221">
            <v>5402.82</v>
          </cell>
          <cell r="BJ221">
            <v>2810.76</v>
          </cell>
          <cell r="BK221">
            <v>43405.08</v>
          </cell>
          <cell r="BL221">
            <v>5800.3</v>
          </cell>
          <cell r="BM221">
            <v>1640.11</v>
          </cell>
          <cell r="BN221">
            <v>1912.48</v>
          </cell>
          <cell r="BO221">
            <v>1761.07</v>
          </cell>
          <cell r="BP221">
            <v>1343.8</v>
          </cell>
          <cell r="BQ221">
            <v>2153.89</v>
          </cell>
          <cell r="BR221">
            <v>7251.48</v>
          </cell>
          <cell r="BS221">
            <v>2732.99</v>
          </cell>
          <cell r="BT221">
            <v>2097.9699999999998</v>
          </cell>
          <cell r="BU221">
            <v>2020.46</v>
          </cell>
          <cell r="BV221">
            <v>693.45</v>
          </cell>
          <cell r="BW221">
            <v>1715.61</v>
          </cell>
          <cell r="BX221">
            <v>99</v>
          </cell>
          <cell r="BY221">
            <v>1033.54</v>
          </cell>
          <cell r="BZ221">
            <v>506.61</v>
          </cell>
          <cell r="CA221">
            <v>566.91999999999996</v>
          </cell>
          <cell r="CB221">
            <v>1585</v>
          </cell>
          <cell r="CC221">
            <v>2426.0100000000002</v>
          </cell>
          <cell r="CD221">
            <v>3422.23</v>
          </cell>
          <cell r="CE221">
            <v>6034.97</v>
          </cell>
          <cell r="CF221">
            <v>772.62</v>
          </cell>
          <cell r="CG221">
            <v>615.97</v>
          </cell>
          <cell r="CH221">
            <v>1170.71</v>
          </cell>
          <cell r="CI221">
            <v>1060.3699999999999</v>
          </cell>
          <cell r="CJ221">
            <v>81.790000000000006</v>
          </cell>
          <cell r="CK221">
            <v>816.27</v>
          </cell>
          <cell r="CL221">
            <v>1366.54</v>
          </cell>
          <cell r="CM221">
            <v>1157.18</v>
          </cell>
          <cell r="CN221">
            <v>4505.79</v>
          </cell>
          <cell r="CO221">
            <v>4118.76</v>
          </cell>
          <cell r="CP221">
            <v>2788.33</v>
          </cell>
          <cell r="CQ221">
            <v>5531.82</v>
          </cell>
          <cell r="CR221">
            <v>1270.1500000000001</v>
          </cell>
          <cell r="CS221">
            <v>1414.54</v>
          </cell>
          <cell r="CT221">
            <v>1844.6</v>
          </cell>
          <cell r="CU221">
            <v>5368.04</v>
          </cell>
          <cell r="CV221">
            <v>1971.52</v>
          </cell>
          <cell r="CW221">
            <v>1176.24</v>
          </cell>
          <cell r="CX221">
            <v>1169.55</v>
          </cell>
          <cell r="CY221">
            <v>1264.45</v>
          </cell>
          <cell r="CZ221">
            <v>2163.46</v>
          </cell>
          <cell r="DA221">
            <v>6022.67</v>
          </cell>
          <cell r="DB221">
            <v>6088.37</v>
          </cell>
          <cell r="DC221">
            <v>2550.16</v>
          </cell>
          <cell r="DD221">
            <v>3257.7</v>
          </cell>
          <cell r="DE221">
            <v>1495.76</v>
          </cell>
          <cell r="DF221">
            <v>2819.87</v>
          </cell>
          <cell r="DG221">
            <v>2566.54</v>
          </cell>
          <cell r="DH221">
            <v>32546.289999999997</v>
          </cell>
        </row>
        <row r="222">
          <cell r="A222" t="str">
            <v>6400100</v>
          </cell>
          <cell r="B222" t="str">
            <v>6400100</v>
          </cell>
          <cell r="C222" t="str">
            <v>M&amp;S OS Purchases</v>
          </cell>
          <cell r="D222">
            <v>642228.73</v>
          </cell>
          <cell r="E222">
            <v>323335.33</v>
          </cell>
          <cell r="F222">
            <v>493114.24</v>
          </cell>
          <cell r="G222">
            <v>723222.93</v>
          </cell>
          <cell r="H222">
            <v>772048.62</v>
          </cell>
          <cell r="I222">
            <v>631826.17000000004</v>
          </cell>
          <cell r="J222">
            <v>1444557.23</v>
          </cell>
          <cell r="K222">
            <v>669659.49</v>
          </cell>
          <cell r="L222">
            <v>598351.24</v>
          </cell>
          <cell r="M222">
            <v>1330511.17</v>
          </cell>
          <cell r="N222">
            <v>860466.05</v>
          </cell>
          <cell r="O222">
            <v>1659423.58</v>
          </cell>
          <cell r="P222">
            <v>638872.13</v>
          </cell>
          <cell r="Q222">
            <v>472564.45</v>
          </cell>
          <cell r="R222">
            <v>1179066.83</v>
          </cell>
          <cell r="S222">
            <v>848353.11</v>
          </cell>
          <cell r="T222">
            <v>1672124.57</v>
          </cell>
          <cell r="U222">
            <v>1124284.6200000001</v>
          </cell>
          <cell r="V222">
            <v>1146352.55</v>
          </cell>
          <cell r="W222">
            <v>660463.18999999994</v>
          </cell>
          <cell r="X222">
            <v>1045720.19</v>
          </cell>
          <cell r="Y222">
            <v>1288356.43</v>
          </cell>
          <cell r="Z222">
            <v>1980547.07</v>
          </cell>
          <cell r="AA222">
            <v>3103931.57</v>
          </cell>
          <cell r="AB222">
            <v>330056.65999999997</v>
          </cell>
          <cell r="AC222">
            <v>995195.71</v>
          </cell>
          <cell r="AD222">
            <v>1526984.74</v>
          </cell>
          <cell r="AE222">
            <v>976204.11</v>
          </cell>
          <cell r="AF222">
            <v>994575.7</v>
          </cell>
          <cell r="AG222">
            <v>2054497.62</v>
          </cell>
          <cell r="AH222">
            <v>1035393.03</v>
          </cell>
          <cell r="AI222">
            <v>1616548.84</v>
          </cell>
          <cell r="AJ222">
            <v>1423807.71</v>
          </cell>
          <cell r="AK222">
            <v>1427223.63</v>
          </cell>
          <cell r="AL222">
            <v>1425455.25</v>
          </cell>
          <cell r="AM222">
            <v>2636591.65</v>
          </cell>
          <cell r="AN222">
            <v>865147.74</v>
          </cell>
          <cell r="AO222">
            <v>1182371.43</v>
          </cell>
          <cell r="AP222">
            <v>1375667.61</v>
          </cell>
          <cell r="AQ222">
            <v>833520.78</v>
          </cell>
          <cell r="AR222">
            <v>2116793.85</v>
          </cell>
          <cell r="AS222">
            <v>1662189.4</v>
          </cell>
          <cell r="AT222">
            <v>1856104.62</v>
          </cell>
          <cell r="AU222">
            <v>2020065.54</v>
          </cell>
          <cell r="AV222">
            <v>2186907.9900000002</v>
          </cell>
          <cell r="AW222">
            <v>1580372.81</v>
          </cell>
          <cell r="AX222">
            <v>1413647.46</v>
          </cell>
          <cell r="AY222">
            <v>2057608.6</v>
          </cell>
          <cell r="AZ222">
            <v>920006.98</v>
          </cell>
          <cell r="BA222">
            <v>781255.42</v>
          </cell>
          <cell r="BB222">
            <v>2211066.85</v>
          </cell>
          <cell r="BC222">
            <v>1184531.42</v>
          </cell>
          <cell r="BD222">
            <v>2851367.79</v>
          </cell>
          <cell r="BE222">
            <v>1649932.65</v>
          </cell>
          <cell r="BF222">
            <v>1350621.55</v>
          </cell>
          <cell r="BG222">
            <v>2237110.2400000002</v>
          </cell>
          <cell r="BH222">
            <v>3720138.28</v>
          </cell>
          <cell r="BI222">
            <v>1431995.37</v>
          </cell>
          <cell r="BJ222">
            <v>2501664.0699999998</v>
          </cell>
          <cell r="BK222">
            <v>2109160.98</v>
          </cell>
          <cell r="BL222">
            <v>1467964.73</v>
          </cell>
          <cell r="BM222">
            <v>1586384.62</v>
          </cell>
          <cell r="BN222">
            <v>3059123.49</v>
          </cell>
          <cell r="BO222">
            <v>1741223.19</v>
          </cell>
          <cell r="BP222">
            <v>2214510.33</v>
          </cell>
          <cell r="BQ222">
            <v>2565375.2200000002</v>
          </cell>
          <cell r="BR222">
            <v>2988280.27</v>
          </cell>
          <cell r="BS222">
            <v>2082331.87</v>
          </cell>
          <cell r="BT222">
            <v>1555801.95</v>
          </cell>
          <cell r="BU222">
            <v>2951148.72</v>
          </cell>
          <cell r="BV222">
            <v>1554136.29</v>
          </cell>
          <cell r="BW222">
            <v>2826343.14</v>
          </cell>
          <cell r="BX222">
            <v>3154882.96</v>
          </cell>
          <cell r="BY222">
            <v>1715611.21</v>
          </cell>
          <cell r="BZ222">
            <v>2116557.56</v>
          </cell>
          <cell r="CA222">
            <v>2946194.02</v>
          </cell>
          <cell r="CB222">
            <v>3471987.55</v>
          </cell>
          <cell r="CC222">
            <v>2151193.23</v>
          </cell>
          <cell r="CD222">
            <v>2714482.81</v>
          </cell>
          <cell r="CE222">
            <v>6576755.04</v>
          </cell>
          <cell r="CF222">
            <v>5043303.8899999997</v>
          </cell>
          <cell r="CG222">
            <v>3819233.41</v>
          </cell>
          <cell r="CH222">
            <v>4289050.97</v>
          </cell>
          <cell r="CI222">
            <v>4358261.0599999996</v>
          </cell>
          <cell r="CJ222">
            <v>2915113.16</v>
          </cell>
          <cell r="CK222">
            <v>1317847.68</v>
          </cell>
          <cell r="CL222">
            <v>2039596.36</v>
          </cell>
          <cell r="CM222">
            <v>2760289.77</v>
          </cell>
          <cell r="CN222">
            <v>2356080.7999999998</v>
          </cell>
          <cell r="CO222">
            <v>3854071.3</v>
          </cell>
          <cell r="CP222">
            <v>9825471.8300000001</v>
          </cell>
          <cell r="CQ222">
            <v>4032012.51</v>
          </cell>
          <cell r="CR222">
            <v>3228118.89</v>
          </cell>
          <cell r="CS222">
            <v>3721083.84</v>
          </cell>
          <cell r="CT222">
            <v>2996582.74</v>
          </cell>
          <cell r="CU222">
            <v>4080500.26</v>
          </cell>
          <cell r="CV222">
            <v>3026506.21</v>
          </cell>
          <cell r="CW222">
            <v>3204363.94</v>
          </cell>
          <cell r="CX222">
            <v>5500315.9800000004</v>
          </cell>
          <cell r="CY222">
            <v>3074265.21</v>
          </cell>
          <cell r="CZ222">
            <v>2944454.17</v>
          </cell>
          <cell r="DA222">
            <v>3882748.68</v>
          </cell>
          <cell r="DB222">
            <v>3358067.2</v>
          </cell>
          <cell r="DC222">
            <v>4346077.29</v>
          </cell>
          <cell r="DD222">
            <v>5800052.3200000003</v>
          </cell>
          <cell r="DE222">
            <v>3372911.6</v>
          </cell>
          <cell r="DF222">
            <v>2519871.94</v>
          </cell>
          <cell r="DG222">
            <v>5886892.3200000003</v>
          </cell>
          <cell r="DH222">
            <v>46916526.859999999</v>
          </cell>
        </row>
        <row r="223">
          <cell r="A223" t="str">
            <v>6400500</v>
          </cell>
          <cell r="B223" t="str">
            <v>6400500</v>
          </cell>
          <cell r="C223" t="str">
            <v>M&amp;S Parts</v>
          </cell>
          <cell r="D223">
            <v>114911.83</v>
          </cell>
          <cell r="E223">
            <v>181984.01</v>
          </cell>
          <cell r="F223">
            <v>105354.58</v>
          </cell>
          <cell r="G223">
            <v>174628.67</v>
          </cell>
          <cell r="H223">
            <v>86705.13</v>
          </cell>
          <cell r="I223">
            <v>102941.39</v>
          </cell>
          <cell r="J223">
            <v>104147.84</v>
          </cell>
          <cell r="K223">
            <v>76320.990000000005</v>
          </cell>
          <cell r="L223">
            <v>55573.24</v>
          </cell>
          <cell r="M223">
            <v>101729.55</v>
          </cell>
          <cell r="N223">
            <v>37375.040000000001</v>
          </cell>
          <cell r="O223">
            <v>59534.1</v>
          </cell>
          <cell r="P223">
            <v>38075.769999999997</v>
          </cell>
          <cell r="Q223">
            <v>19002.349999999999</v>
          </cell>
          <cell r="R223">
            <v>37511.370000000003</v>
          </cell>
          <cell r="S223">
            <v>57307.92</v>
          </cell>
          <cell r="T223">
            <v>24837.63</v>
          </cell>
          <cell r="U223">
            <v>54980.77</v>
          </cell>
          <cell r="V223">
            <v>18599.740000000002</v>
          </cell>
          <cell r="W223">
            <v>19114.73</v>
          </cell>
          <cell r="X223">
            <v>78027.509999999995</v>
          </cell>
          <cell r="Y223">
            <v>100304.99</v>
          </cell>
          <cell r="Z223">
            <v>33893.53</v>
          </cell>
          <cell r="AA223">
            <v>109563.97</v>
          </cell>
          <cell r="AB223">
            <v>20659.12</v>
          </cell>
          <cell r="AC223">
            <v>83940.75</v>
          </cell>
          <cell r="AD223">
            <v>49621.73</v>
          </cell>
          <cell r="AE223">
            <v>25039.45</v>
          </cell>
          <cell r="AF223">
            <v>37631.440000000002</v>
          </cell>
          <cell r="AG223">
            <v>30874.59</v>
          </cell>
          <cell r="AH223">
            <v>18214.27</v>
          </cell>
          <cell r="AI223">
            <v>55886.78</v>
          </cell>
          <cell r="AJ223">
            <v>30707.72</v>
          </cell>
          <cell r="AK223">
            <v>24696.02</v>
          </cell>
          <cell r="AL223">
            <v>28882.46</v>
          </cell>
          <cell r="AM223">
            <v>39143.919999999998</v>
          </cell>
          <cell r="AN223">
            <v>6969.53</v>
          </cell>
          <cell r="AO223">
            <v>29418.32</v>
          </cell>
          <cell r="AP223">
            <v>31609.09</v>
          </cell>
          <cell r="AQ223">
            <v>12916.81</v>
          </cell>
          <cell r="AR223">
            <v>9367.1</v>
          </cell>
          <cell r="AS223">
            <v>12669.52</v>
          </cell>
          <cell r="AT223">
            <v>14661.99</v>
          </cell>
          <cell r="AU223">
            <v>16667.29</v>
          </cell>
          <cell r="AV223">
            <v>20691.02</v>
          </cell>
          <cell r="AW223">
            <v>18379.82</v>
          </cell>
          <cell r="AX223">
            <v>13196.68</v>
          </cell>
          <cell r="AY223">
            <v>32096.86</v>
          </cell>
          <cell r="AZ223">
            <v>3136.9</v>
          </cell>
          <cell r="BA223">
            <v>9472.94</v>
          </cell>
          <cell r="BB223">
            <v>5438.58</v>
          </cell>
          <cell r="BC223">
            <v>34642.43</v>
          </cell>
          <cell r="BD223">
            <v>11199.16</v>
          </cell>
          <cell r="BE223">
            <v>4050.69</v>
          </cell>
          <cell r="BF223">
            <v>145382.15</v>
          </cell>
          <cell r="BG223">
            <v>5138.05</v>
          </cell>
          <cell r="BH223">
            <v>19763.82</v>
          </cell>
          <cell r="BI223">
            <v>28534.98</v>
          </cell>
          <cell r="BJ223">
            <v>43735.86</v>
          </cell>
          <cell r="BK223">
            <v>37352.54</v>
          </cell>
          <cell r="BL223">
            <v>16384.810000000001</v>
          </cell>
          <cell r="BM223">
            <v>24967.72</v>
          </cell>
          <cell r="BN223">
            <v>13092.22</v>
          </cell>
          <cell r="BO223">
            <v>22414.18</v>
          </cell>
          <cell r="BP223">
            <v>18910.849999999999</v>
          </cell>
          <cell r="BQ223">
            <v>16391.43</v>
          </cell>
          <cell r="BR223">
            <v>28066.35</v>
          </cell>
          <cell r="BS223">
            <v>40906.07</v>
          </cell>
          <cell r="BT223">
            <v>12420.74</v>
          </cell>
          <cell r="BU223">
            <v>47834.74</v>
          </cell>
          <cell r="BV223">
            <v>11085.84</v>
          </cell>
          <cell r="BW223">
            <v>39367.449999999997</v>
          </cell>
          <cell r="BX223">
            <v>5416.97</v>
          </cell>
          <cell r="BY223">
            <v>40470.03</v>
          </cell>
          <cell r="BZ223">
            <v>28892.47</v>
          </cell>
          <cell r="CA223">
            <v>5309.17</v>
          </cell>
          <cell r="CB223">
            <v>8510.2800000000007</v>
          </cell>
          <cell r="CC223">
            <v>2179.5500000000002</v>
          </cell>
          <cell r="CD223">
            <v>82158.75</v>
          </cell>
          <cell r="CE223">
            <v>55830.98</v>
          </cell>
          <cell r="CF223">
            <v>18428.349999999999</v>
          </cell>
          <cell r="CG223">
            <v>26467.11</v>
          </cell>
          <cell r="CH223">
            <v>28809.68</v>
          </cell>
          <cell r="CI223">
            <v>33146.589999999997</v>
          </cell>
          <cell r="CJ223">
            <v>8970.7099999999991</v>
          </cell>
          <cell r="CK223">
            <v>17865.509999999998</v>
          </cell>
          <cell r="CL223">
            <v>37036.04</v>
          </cell>
          <cell r="CM223">
            <v>1806.68</v>
          </cell>
          <cell r="CN223">
            <v>11541.38</v>
          </cell>
          <cell r="CO223">
            <v>14895.86</v>
          </cell>
          <cell r="CP223">
            <v>37411</v>
          </cell>
          <cell r="CQ223">
            <v>3455.63</v>
          </cell>
          <cell r="CR223">
            <v>3907.54</v>
          </cell>
          <cell r="CS223">
            <v>7041.16</v>
          </cell>
          <cell r="CT223">
            <v>6053.83</v>
          </cell>
          <cell r="CU223">
            <v>9978.2000000000007</v>
          </cell>
          <cell r="CV223">
            <v>642.9</v>
          </cell>
          <cell r="CW223">
            <v>11045.33</v>
          </cell>
          <cell r="CX223">
            <v>7054.12</v>
          </cell>
          <cell r="CY223">
            <v>5179.2</v>
          </cell>
          <cell r="CZ223">
            <v>11840.77</v>
          </cell>
          <cell r="DA223">
            <v>3934.31</v>
          </cell>
          <cell r="DB223">
            <v>3625.98</v>
          </cell>
          <cell r="DC223">
            <v>4364.5600000000004</v>
          </cell>
          <cell r="DD223">
            <v>5960.52</v>
          </cell>
          <cell r="DE223">
            <v>10058.780000000001</v>
          </cell>
          <cell r="DF223">
            <v>4766.29</v>
          </cell>
          <cell r="DG223">
            <v>3373.96</v>
          </cell>
          <cell r="DH223">
            <v>71846.720000000001</v>
          </cell>
        </row>
        <row r="224">
          <cell r="A224" t="str">
            <v>6400505</v>
          </cell>
          <cell r="B224" t="str">
            <v>6400505</v>
          </cell>
          <cell r="C224" t="str">
            <v>M&amp;S Part Repairs</v>
          </cell>
          <cell r="AE224">
            <v>0</v>
          </cell>
          <cell r="AF224">
            <v>136.91999999999999</v>
          </cell>
          <cell r="AG224">
            <v>0</v>
          </cell>
          <cell r="AH224">
            <v>24.59</v>
          </cell>
          <cell r="AI224">
            <v>733.73</v>
          </cell>
          <cell r="AJ224">
            <v>146.04</v>
          </cell>
          <cell r="AK224">
            <v>48.15</v>
          </cell>
          <cell r="AL224">
            <v>44.35</v>
          </cell>
          <cell r="AM224">
            <v>219.99</v>
          </cell>
          <cell r="AN224">
            <v>0</v>
          </cell>
          <cell r="AO224">
            <v>2106.1999999999998</v>
          </cell>
          <cell r="AP224">
            <v>145.91999999999999</v>
          </cell>
          <cell r="AQ224">
            <v>0</v>
          </cell>
          <cell r="AR224">
            <v>0</v>
          </cell>
          <cell r="AS224">
            <v>0</v>
          </cell>
          <cell r="AT224">
            <v>75.61</v>
          </cell>
          <cell r="AU224">
            <v>0</v>
          </cell>
          <cell r="AV224">
            <v>566.84</v>
          </cell>
          <cell r="AW224">
            <v>0</v>
          </cell>
          <cell r="AX224">
            <v>0</v>
          </cell>
          <cell r="AY224">
            <v>0</v>
          </cell>
          <cell r="AZ224">
            <v>0</v>
          </cell>
          <cell r="BA224">
            <v>0</v>
          </cell>
          <cell r="BB224">
            <v>0</v>
          </cell>
          <cell r="BC224">
            <v>464.43</v>
          </cell>
          <cell r="BD224">
            <v>57.66</v>
          </cell>
          <cell r="BE224">
            <v>473.18</v>
          </cell>
          <cell r="BF224">
            <v>0</v>
          </cell>
          <cell r="BG224">
            <v>768.22</v>
          </cell>
          <cell r="BH224">
            <v>0</v>
          </cell>
          <cell r="BI224">
            <v>269.33999999999997</v>
          </cell>
          <cell r="BJ224">
            <v>0</v>
          </cell>
          <cell r="BK224">
            <v>359.43</v>
          </cell>
          <cell r="BL224">
            <v>0</v>
          </cell>
          <cell r="BM224">
            <v>119.63</v>
          </cell>
          <cell r="BN224">
            <v>17.079999999999998</v>
          </cell>
          <cell r="BO224">
            <v>48.15</v>
          </cell>
          <cell r="BP224">
            <v>0</v>
          </cell>
          <cell r="BQ224">
            <v>0</v>
          </cell>
          <cell r="BR224">
            <v>145.24</v>
          </cell>
          <cell r="BS224">
            <v>9.5399999999999991</v>
          </cell>
          <cell r="BT224">
            <v>50.11</v>
          </cell>
          <cell r="BU224">
            <v>235.46</v>
          </cell>
          <cell r="BV224">
            <v>224.8</v>
          </cell>
          <cell r="BW224">
            <v>104.28</v>
          </cell>
          <cell r="BX224">
            <v>0</v>
          </cell>
          <cell r="BY224">
            <v>721.64</v>
          </cell>
          <cell r="BZ224">
            <v>1779.87</v>
          </cell>
          <cell r="CA224">
            <v>112.77</v>
          </cell>
          <cell r="CB224">
            <v>4.79</v>
          </cell>
          <cell r="CC224">
            <v>10.67</v>
          </cell>
          <cell r="CD224">
            <v>161.56</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1622.38</v>
          </cell>
          <cell r="DG224">
            <v>0</v>
          </cell>
          <cell r="DH224">
            <v>1622.38</v>
          </cell>
        </row>
        <row r="225">
          <cell r="A225" t="str">
            <v>6400510</v>
          </cell>
          <cell r="B225" t="str">
            <v>6400510</v>
          </cell>
          <cell r="C225" t="str">
            <v>M&amp;S Small Tools</v>
          </cell>
          <cell r="D225">
            <v>3981.7</v>
          </cell>
          <cell r="E225">
            <v>7733.5</v>
          </cell>
          <cell r="F225">
            <v>15644.96</v>
          </cell>
          <cell r="G225">
            <v>28317.68</v>
          </cell>
          <cell r="H225">
            <v>9703.16</v>
          </cell>
          <cell r="I225">
            <v>10492.62</v>
          </cell>
          <cell r="J225">
            <v>7449.85</v>
          </cell>
          <cell r="K225">
            <v>11307.68</v>
          </cell>
          <cell r="L225">
            <v>20275.59</v>
          </cell>
          <cell r="M225">
            <v>22273.91</v>
          </cell>
          <cell r="N225">
            <v>33518.46</v>
          </cell>
          <cell r="O225">
            <v>24759.360000000001</v>
          </cell>
          <cell r="P225">
            <v>5019.2700000000004</v>
          </cell>
          <cell r="Q225">
            <v>6927.76</v>
          </cell>
          <cell r="R225">
            <v>3541.29</v>
          </cell>
          <cell r="S225">
            <v>12914.75</v>
          </cell>
          <cell r="T225">
            <v>6312.45</v>
          </cell>
          <cell r="U225">
            <v>11106.31</v>
          </cell>
          <cell r="V225">
            <v>28188.92</v>
          </cell>
          <cell r="W225">
            <v>22559.599999999999</v>
          </cell>
          <cell r="X225">
            <v>7997.64</v>
          </cell>
          <cell r="Y225">
            <v>48056.29</v>
          </cell>
          <cell r="Z225">
            <v>38203.69</v>
          </cell>
          <cell r="AA225">
            <v>11609.43</v>
          </cell>
          <cell r="AB225">
            <v>2423.09</v>
          </cell>
          <cell r="AC225">
            <v>8447.7800000000007</v>
          </cell>
          <cell r="AD225">
            <v>10086.76</v>
          </cell>
          <cell r="AE225">
            <v>7694.67</v>
          </cell>
          <cell r="AF225">
            <v>40877.58</v>
          </cell>
          <cell r="AG225">
            <v>4772.0600000000004</v>
          </cell>
          <cell r="AH225">
            <v>5207.75</v>
          </cell>
          <cell r="AI225">
            <v>6549.53</v>
          </cell>
          <cell r="AJ225">
            <v>7670.58</v>
          </cell>
          <cell r="AK225">
            <v>4866.49</v>
          </cell>
          <cell r="AL225">
            <v>8505.68</v>
          </cell>
          <cell r="AM225">
            <v>39413.33</v>
          </cell>
          <cell r="AN225">
            <v>1634.6</v>
          </cell>
          <cell r="AO225">
            <v>6260.15</v>
          </cell>
          <cell r="AP225">
            <v>8642.93</v>
          </cell>
          <cell r="AQ225">
            <v>8129.78</v>
          </cell>
          <cell r="AR225">
            <v>9188.9</v>
          </cell>
          <cell r="AS225">
            <v>7479.1</v>
          </cell>
          <cell r="AT225">
            <v>5625.48</v>
          </cell>
          <cell r="AU225">
            <v>11046.4</v>
          </cell>
          <cell r="AV225">
            <v>6809.14</v>
          </cell>
          <cell r="AW225">
            <v>23730.76</v>
          </cell>
          <cell r="AX225">
            <v>5734.19</v>
          </cell>
          <cell r="AY225">
            <v>95362.42</v>
          </cell>
          <cell r="AZ225">
            <v>2624.87</v>
          </cell>
          <cell r="BA225">
            <v>6123.96</v>
          </cell>
          <cell r="BB225">
            <v>14602.43</v>
          </cell>
          <cell r="BC225">
            <v>13712.45</v>
          </cell>
          <cell r="BD225">
            <v>27541.599999999999</v>
          </cell>
          <cell r="BE225">
            <v>20492.07</v>
          </cell>
          <cell r="BF225">
            <v>152.11000000000001</v>
          </cell>
          <cell r="BG225">
            <v>6249.12</v>
          </cell>
          <cell r="BH225">
            <v>2395.0700000000002</v>
          </cell>
          <cell r="BI225">
            <v>14224.09</v>
          </cell>
          <cell r="BJ225">
            <v>12852.95</v>
          </cell>
          <cell r="BK225">
            <v>11989.6</v>
          </cell>
          <cell r="BL225">
            <v>33162.910000000003</v>
          </cell>
          <cell r="BM225">
            <v>6700.12</v>
          </cell>
          <cell r="BN225">
            <v>8288.9500000000007</v>
          </cell>
          <cell r="BO225">
            <v>1726.97</v>
          </cell>
          <cell r="BP225">
            <v>4003.59</v>
          </cell>
          <cell r="BQ225">
            <v>5119.93</v>
          </cell>
          <cell r="BR225">
            <v>35628.269999999997</v>
          </cell>
          <cell r="BS225">
            <v>6415.95</v>
          </cell>
          <cell r="BT225">
            <v>3338.01</v>
          </cell>
          <cell r="BU225">
            <v>7585.88</v>
          </cell>
          <cell r="BV225">
            <v>4741.74</v>
          </cell>
          <cell r="BW225">
            <v>11461.52</v>
          </cell>
          <cell r="BX225">
            <v>0</v>
          </cell>
          <cell r="BY225">
            <v>3613.78</v>
          </cell>
          <cell r="BZ225">
            <v>3537.6</v>
          </cell>
          <cell r="CA225">
            <v>4549.47</v>
          </cell>
          <cell r="CB225">
            <v>5251.71</v>
          </cell>
          <cell r="CC225">
            <v>3948.85</v>
          </cell>
          <cell r="CD225">
            <v>6634.23</v>
          </cell>
          <cell r="CE225">
            <v>7032.36</v>
          </cell>
          <cell r="CF225">
            <v>15501.82</v>
          </cell>
          <cell r="CG225">
            <v>8555.58</v>
          </cell>
          <cell r="CH225">
            <v>2625.07</v>
          </cell>
          <cell r="CI225">
            <v>26164.240000000002</v>
          </cell>
          <cell r="CJ225">
            <v>3350.62</v>
          </cell>
          <cell r="CK225">
            <v>4844.38</v>
          </cell>
          <cell r="CL225">
            <v>5594.89</v>
          </cell>
          <cell r="CM225">
            <v>12538.96</v>
          </cell>
          <cell r="CN225">
            <v>27996.84</v>
          </cell>
          <cell r="CO225">
            <v>5582.7</v>
          </cell>
          <cell r="CP225">
            <v>8540</v>
          </cell>
          <cell r="CQ225">
            <v>5029.2299999999996</v>
          </cell>
          <cell r="CR225">
            <v>9467.06</v>
          </cell>
          <cell r="CS225">
            <v>7302.07</v>
          </cell>
          <cell r="CT225">
            <v>7600.98</v>
          </cell>
          <cell r="CU225">
            <v>12850.87</v>
          </cell>
          <cell r="CV225">
            <v>2519.04</v>
          </cell>
          <cell r="CW225">
            <v>5836.81</v>
          </cell>
          <cell r="CX225">
            <v>6844.72</v>
          </cell>
          <cell r="CY225">
            <v>6434.36</v>
          </cell>
          <cell r="CZ225">
            <v>5787.12</v>
          </cell>
          <cell r="DA225">
            <v>7507.9</v>
          </cell>
          <cell r="DB225">
            <v>13092.13</v>
          </cell>
          <cell r="DC225">
            <v>12597.8</v>
          </cell>
          <cell r="DD225">
            <v>12344.25</v>
          </cell>
          <cell r="DE225">
            <v>15084.83</v>
          </cell>
          <cell r="DF225">
            <v>10428.91</v>
          </cell>
          <cell r="DG225">
            <v>7599.54</v>
          </cell>
          <cell r="DH225">
            <v>106077.40999999999</v>
          </cell>
        </row>
        <row r="226">
          <cell r="A226" t="str">
            <v>6400520</v>
          </cell>
          <cell r="B226" t="str">
            <v>6400520</v>
          </cell>
          <cell r="C226" t="str">
            <v>M&amp;S Obsolete Inven</v>
          </cell>
          <cell r="AK226">
            <v>0</v>
          </cell>
          <cell r="AL226">
            <v>15910.38</v>
          </cell>
          <cell r="AM226">
            <v>27068.04</v>
          </cell>
          <cell r="AN226">
            <v>204.9</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1063.53</v>
          </cell>
          <cell r="BV226">
            <v>461.13</v>
          </cell>
          <cell r="BW226">
            <v>9092.85</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row>
        <row r="227">
          <cell r="A227" t="str">
            <v>6400521</v>
          </cell>
          <cell r="B227" t="str">
            <v>6400521</v>
          </cell>
          <cell r="C227" t="str">
            <v>M&amp;S Defect Inv Scrap</v>
          </cell>
          <cell r="D227">
            <v>0</v>
          </cell>
          <cell r="E227">
            <v>0</v>
          </cell>
          <cell r="F227">
            <v>0</v>
          </cell>
          <cell r="G227">
            <v>0</v>
          </cell>
          <cell r="H227">
            <v>0</v>
          </cell>
          <cell r="I227">
            <v>0</v>
          </cell>
          <cell r="J227">
            <v>0</v>
          </cell>
          <cell r="K227">
            <v>0</v>
          </cell>
          <cell r="L227">
            <v>1805.04</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row>
        <row r="228">
          <cell r="A228" t="str">
            <v>6400530</v>
          </cell>
          <cell r="B228" t="str">
            <v>6400530</v>
          </cell>
          <cell r="C228" t="str">
            <v>M&amp;S Inven Other</v>
          </cell>
          <cell r="D228">
            <v>51.19</v>
          </cell>
          <cell r="E228">
            <v>279.48</v>
          </cell>
          <cell r="F228">
            <v>0</v>
          </cell>
          <cell r="G228">
            <v>0</v>
          </cell>
          <cell r="H228">
            <v>0</v>
          </cell>
          <cell r="I228">
            <v>0</v>
          </cell>
          <cell r="J228">
            <v>0</v>
          </cell>
          <cell r="K228">
            <v>-427.02</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24320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row>
        <row r="229">
          <cell r="A229" t="str">
            <v>6401000</v>
          </cell>
          <cell r="B229" t="str">
            <v>6401000</v>
          </cell>
          <cell r="C229" t="str">
            <v>M&amp;S Inven Issue</v>
          </cell>
          <cell r="D229">
            <v>1074317.43</v>
          </cell>
          <cell r="E229">
            <v>531247.84</v>
          </cell>
          <cell r="F229">
            <v>946982.1</v>
          </cell>
          <cell r="G229">
            <v>863954.56</v>
          </cell>
          <cell r="H229">
            <v>712465.91</v>
          </cell>
          <cell r="I229">
            <v>706040.77</v>
          </cell>
          <cell r="J229">
            <v>692789.34</v>
          </cell>
          <cell r="K229">
            <v>1088196.6599999999</v>
          </cell>
          <cell r="L229">
            <v>608513.26</v>
          </cell>
          <cell r="M229">
            <v>916387.27</v>
          </cell>
          <cell r="N229">
            <v>499554.32</v>
          </cell>
          <cell r="O229">
            <v>1166292.56</v>
          </cell>
          <cell r="P229">
            <v>418423.92</v>
          </cell>
          <cell r="Q229">
            <v>418441.1</v>
          </cell>
          <cell r="R229">
            <v>636470.1</v>
          </cell>
          <cell r="S229">
            <v>893774.41</v>
          </cell>
          <cell r="T229">
            <v>473041.27</v>
          </cell>
          <cell r="U229">
            <v>617063.36</v>
          </cell>
          <cell r="V229">
            <v>795537.05</v>
          </cell>
          <cell r="W229">
            <v>926787.25</v>
          </cell>
          <cell r="X229">
            <v>1094429.05</v>
          </cell>
          <cell r="Y229">
            <v>842892.79</v>
          </cell>
          <cell r="Z229">
            <v>1758219.46</v>
          </cell>
          <cell r="AA229">
            <v>926725.88</v>
          </cell>
          <cell r="AB229">
            <v>432900.24</v>
          </cell>
          <cell r="AC229">
            <v>1112032.33</v>
          </cell>
          <cell r="AD229">
            <v>872787.45</v>
          </cell>
          <cell r="AE229">
            <v>644333.34</v>
          </cell>
          <cell r="AF229">
            <v>758952.31</v>
          </cell>
          <cell r="AG229">
            <v>2176140.85</v>
          </cell>
          <cell r="AH229">
            <v>486211.76</v>
          </cell>
          <cell r="AI229">
            <v>768792.79</v>
          </cell>
          <cell r="AJ229">
            <v>652093.49</v>
          </cell>
          <cell r="AK229">
            <v>844289.93</v>
          </cell>
          <cell r="AL229">
            <v>956561.8</v>
          </cell>
          <cell r="AM229">
            <v>770671.37</v>
          </cell>
          <cell r="AN229">
            <v>608272.37</v>
          </cell>
          <cell r="AO229">
            <v>765679.38</v>
          </cell>
          <cell r="AP229">
            <v>948619.26</v>
          </cell>
          <cell r="AQ229">
            <v>702093.95</v>
          </cell>
          <cell r="AR229">
            <v>944913.03</v>
          </cell>
          <cell r="AS229">
            <v>623682.48</v>
          </cell>
          <cell r="AT229">
            <v>686633.1</v>
          </cell>
          <cell r="AU229">
            <v>1110021.67</v>
          </cell>
          <cell r="AV229">
            <v>460910.45</v>
          </cell>
          <cell r="AW229">
            <v>1063240.71</v>
          </cell>
          <cell r="AX229">
            <v>684883.09</v>
          </cell>
          <cell r="AY229">
            <v>1769601.82</v>
          </cell>
          <cell r="AZ229">
            <v>616877.66</v>
          </cell>
          <cell r="BA229">
            <v>796954.04</v>
          </cell>
          <cell r="BB229">
            <v>1080581.51</v>
          </cell>
          <cell r="BC229">
            <v>828860.57</v>
          </cell>
          <cell r="BD229">
            <v>806928.58</v>
          </cell>
          <cell r="BE229">
            <v>777231.61</v>
          </cell>
          <cell r="BF229">
            <v>942952.89</v>
          </cell>
          <cell r="BG229">
            <v>1300843.75</v>
          </cell>
          <cell r="BH229">
            <v>1206377.26</v>
          </cell>
          <cell r="BI229">
            <v>1589863.6</v>
          </cell>
          <cell r="BJ229">
            <v>1010800.24</v>
          </cell>
          <cell r="BK229">
            <v>1239649.8899999999</v>
          </cell>
          <cell r="BL229">
            <v>738972.02</v>
          </cell>
          <cell r="BM229">
            <v>1074480.42</v>
          </cell>
          <cell r="BN229">
            <v>977932.58</v>
          </cell>
          <cell r="BO229">
            <v>993606.24</v>
          </cell>
          <cell r="BP229">
            <v>1069150.56</v>
          </cell>
          <cell r="BQ229">
            <v>656121.44999999995</v>
          </cell>
          <cell r="BR229">
            <v>1147543.6399999999</v>
          </cell>
          <cell r="BS229">
            <v>673286.08</v>
          </cell>
          <cell r="BT229">
            <v>1134713.6599999999</v>
          </cell>
          <cell r="BU229">
            <v>1274987.78</v>
          </cell>
          <cell r="BV229">
            <v>1038740.83</v>
          </cell>
          <cell r="BW229">
            <v>5587768.0099999998</v>
          </cell>
          <cell r="BX229">
            <v>1475032.89</v>
          </cell>
          <cell r="BY229">
            <v>1416982.07</v>
          </cell>
          <cell r="BZ229">
            <v>917865.68</v>
          </cell>
          <cell r="CA229">
            <v>1766896.6</v>
          </cell>
          <cell r="CB229">
            <v>2848920.59</v>
          </cell>
          <cell r="CC229">
            <v>2776865.97</v>
          </cell>
          <cell r="CD229">
            <v>1438564.4</v>
          </cell>
          <cell r="CE229">
            <v>1869501.16</v>
          </cell>
          <cell r="CF229">
            <v>1399877.4</v>
          </cell>
          <cell r="CG229">
            <v>747968.95</v>
          </cell>
          <cell r="CH229">
            <v>1430279.66</v>
          </cell>
          <cell r="CI229">
            <v>1425204.5</v>
          </cell>
          <cell r="CJ229">
            <v>1280210.1299999999</v>
          </cell>
          <cell r="CK229">
            <v>1128257.6100000001</v>
          </cell>
          <cell r="CL229">
            <v>1114325.8400000001</v>
          </cell>
          <cell r="CM229">
            <v>937953.58</v>
          </cell>
          <cell r="CN229">
            <v>949342.56</v>
          </cell>
          <cell r="CO229">
            <v>1485890.3</v>
          </cell>
          <cell r="CP229">
            <v>1774479.95</v>
          </cell>
          <cell r="CQ229">
            <v>1012909.15</v>
          </cell>
          <cell r="CR229">
            <v>661369.13</v>
          </cell>
          <cell r="CS229">
            <v>1315989.27</v>
          </cell>
          <cell r="CT229">
            <v>7057556.2800000003</v>
          </cell>
          <cell r="CU229">
            <v>2530823.4500000002</v>
          </cell>
          <cell r="CV229">
            <v>632915.78</v>
          </cell>
          <cell r="CW229">
            <v>1276776.67</v>
          </cell>
          <cell r="CX229">
            <v>839987.51</v>
          </cell>
          <cell r="CY229">
            <v>802972.31</v>
          </cell>
          <cell r="CZ229">
            <v>826146.06</v>
          </cell>
          <cell r="DA229">
            <v>1401900.4</v>
          </cell>
          <cell r="DB229">
            <v>1015474.29</v>
          </cell>
          <cell r="DC229">
            <v>1201228.71</v>
          </cell>
          <cell r="DD229">
            <v>543409.59</v>
          </cell>
          <cell r="DE229">
            <v>1077688.92</v>
          </cell>
          <cell r="DF229">
            <v>1797688.11</v>
          </cell>
          <cell r="DG229">
            <v>3111552.86</v>
          </cell>
          <cell r="DH229">
            <v>14527741.209999999</v>
          </cell>
        </row>
        <row r="230">
          <cell r="A230" t="str">
            <v>6401100</v>
          </cell>
          <cell r="B230" t="str">
            <v>6401100</v>
          </cell>
          <cell r="C230" t="str">
            <v>Phy Inven Difference</v>
          </cell>
          <cell r="D230">
            <v>1233.9000000000001</v>
          </cell>
          <cell r="E230">
            <v>0</v>
          </cell>
          <cell r="F230">
            <v>0</v>
          </cell>
          <cell r="G230">
            <v>-679.07</v>
          </cell>
          <cell r="H230">
            <v>-6446.57</v>
          </cell>
          <cell r="I230">
            <v>0</v>
          </cell>
          <cell r="J230">
            <v>-10273.32</v>
          </cell>
          <cell r="K230">
            <v>3495.56</v>
          </cell>
          <cell r="L230">
            <v>7697.07</v>
          </cell>
          <cell r="M230">
            <v>10784.47</v>
          </cell>
          <cell r="N230">
            <v>-16403.16</v>
          </cell>
          <cell r="O230">
            <v>0</v>
          </cell>
          <cell r="P230">
            <v>0</v>
          </cell>
          <cell r="Q230">
            <v>0</v>
          </cell>
          <cell r="R230">
            <v>0</v>
          </cell>
          <cell r="S230">
            <v>2046.6</v>
          </cell>
          <cell r="T230">
            <v>0</v>
          </cell>
          <cell r="U230">
            <v>0</v>
          </cell>
          <cell r="V230">
            <v>-2833.19</v>
          </cell>
          <cell r="W230">
            <v>0</v>
          </cell>
          <cell r="X230">
            <v>-579.17999999999995</v>
          </cell>
          <cell r="Y230">
            <v>17330.03</v>
          </cell>
          <cell r="Z230">
            <v>-989.65</v>
          </cell>
          <cell r="AA230">
            <v>88704.3</v>
          </cell>
          <cell r="AB230">
            <v>0</v>
          </cell>
          <cell r="AC230">
            <v>0</v>
          </cell>
          <cell r="AD230">
            <v>0</v>
          </cell>
          <cell r="AE230">
            <v>0</v>
          </cell>
          <cell r="AF230">
            <v>0</v>
          </cell>
          <cell r="AG230">
            <v>0</v>
          </cell>
          <cell r="AH230">
            <v>0</v>
          </cell>
          <cell r="AI230">
            <v>3898.72</v>
          </cell>
          <cell r="AJ230">
            <v>0</v>
          </cell>
          <cell r="AK230">
            <v>2057.1</v>
          </cell>
          <cell r="AL230">
            <v>-13743.96</v>
          </cell>
          <cell r="AM230">
            <v>24072.79</v>
          </cell>
          <cell r="AN230">
            <v>0</v>
          </cell>
          <cell r="AO230">
            <v>0</v>
          </cell>
          <cell r="AP230">
            <v>0</v>
          </cell>
          <cell r="AQ230">
            <v>0</v>
          </cell>
          <cell r="AR230">
            <v>0</v>
          </cell>
          <cell r="AS230">
            <v>0</v>
          </cell>
          <cell r="AT230">
            <v>0</v>
          </cell>
          <cell r="AU230">
            <v>-247.94</v>
          </cell>
          <cell r="AV230">
            <v>0</v>
          </cell>
          <cell r="AW230">
            <v>539.41999999999996</v>
          </cell>
          <cell r="AX230">
            <v>58107.08</v>
          </cell>
          <cell r="AY230">
            <v>35600.089999999997</v>
          </cell>
          <cell r="AZ230">
            <v>74382.91</v>
          </cell>
          <cell r="BA230">
            <v>0</v>
          </cell>
          <cell r="BB230">
            <v>0</v>
          </cell>
          <cell r="BC230">
            <v>0</v>
          </cell>
          <cell r="BD230">
            <v>0</v>
          </cell>
          <cell r="BE230">
            <v>0</v>
          </cell>
          <cell r="BF230">
            <v>0</v>
          </cell>
          <cell r="BG230">
            <v>-145.26</v>
          </cell>
          <cell r="BH230">
            <v>-80.5</v>
          </cell>
          <cell r="BI230">
            <v>4477.1000000000004</v>
          </cell>
          <cell r="BJ230">
            <v>24554.68</v>
          </cell>
          <cell r="BK230">
            <v>5794.79</v>
          </cell>
          <cell r="BL230">
            <v>0</v>
          </cell>
          <cell r="BM230">
            <v>0</v>
          </cell>
          <cell r="BN230">
            <v>0</v>
          </cell>
          <cell r="BO230">
            <v>0</v>
          </cell>
          <cell r="BP230">
            <v>0</v>
          </cell>
          <cell r="BQ230">
            <v>0</v>
          </cell>
          <cell r="BR230">
            <v>0</v>
          </cell>
          <cell r="BS230">
            <v>475.28</v>
          </cell>
          <cell r="BT230">
            <v>0</v>
          </cell>
          <cell r="BU230">
            <v>-7281.67</v>
          </cell>
          <cell r="BV230">
            <v>6573.71</v>
          </cell>
          <cell r="BW230">
            <v>91201.27</v>
          </cell>
          <cell r="BX230">
            <v>-199.77</v>
          </cell>
          <cell r="BY230">
            <v>0</v>
          </cell>
          <cell r="BZ230">
            <v>0</v>
          </cell>
          <cell r="CA230">
            <v>43.34</v>
          </cell>
          <cell r="CB230">
            <v>0</v>
          </cell>
          <cell r="CC230">
            <v>0</v>
          </cell>
          <cell r="CD230">
            <v>0</v>
          </cell>
          <cell r="CE230">
            <v>0</v>
          </cell>
          <cell r="CF230">
            <v>158.86000000000001</v>
          </cell>
          <cell r="CG230">
            <v>0</v>
          </cell>
          <cell r="CH230">
            <v>137311.67000000001</v>
          </cell>
          <cell r="CI230">
            <v>1685.02</v>
          </cell>
          <cell r="CJ230">
            <v>0</v>
          </cell>
          <cell r="CK230">
            <v>0</v>
          </cell>
          <cell r="CL230">
            <v>-43.34</v>
          </cell>
          <cell r="CM230">
            <v>0</v>
          </cell>
          <cell r="CN230">
            <v>0</v>
          </cell>
          <cell r="CO230">
            <v>0</v>
          </cell>
          <cell r="CP230">
            <v>0</v>
          </cell>
          <cell r="CQ230">
            <v>0</v>
          </cell>
          <cell r="CR230">
            <v>0</v>
          </cell>
          <cell r="CS230">
            <v>80.88</v>
          </cell>
          <cell r="CT230">
            <v>-5492736.71</v>
          </cell>
          <cell r="CU230">
            <v>87447.82</v>
          </cell>
          <cell r="CV230">
            <v>0</v>
          </cell>
          <cell r="CW230">
            <v>0</v>
          </cell>
          <cell r="CX230">
            <v>0</v>
          </cell>
          <cell r="CY230">
            <v>0</v>
          </cell>
          <cell r="CZ230">
            <v>0</v>
          </cell>
          <cell r="DA230">
            <v>0</v>
          </cell>
          <cell r="DB230">
            <v>0</v>
          </cell>
          <cell r="DC230">
            <v>0</v>
          </cell>
          <cell r="DD230">
            <v>0</v>
          </cell>
          <cell r="DE230">
            <v>0</v>
          </cell>
          <cell r="DF230">
            <v>-13329.34</v>
          </cell>
          <cell r="DG230">
            <v>564693.31000000006</v>
          </cell>
          <cell r="DH230">
            <v>551363.97000000009</v>
          </cell>
        </row>
        <row r="231">
          <cell r="A231" t="str">
            <v>6401200</v>
          </cell>
          <cell r="B231" t="str">
            <v>6401200</v>
          </cell>
          <cell r="C231" t="str">
            <v>Matls Price Diff</v>
          </cell>
          <cell r="D231">
            <v>-4149.79</v>
          </cell>
          <cell r="E231">
            <v>-639.63</v>
          </cell>
          <cell r="F231">
            <v>-1449.44</v>
          </cell>
          <cell r="G231">
            <v>1646.49</v>
          </cell>
          <cell r="H231">
            <v>-350.41</v>
          </cell>
          <cell r="I231">
            <v>132.36000000000001</v>
          </cell>
          <cell r="J231">
            <v>1216.77</v>
          </cell>
          <cell r="K231">
            <v>-255.32</v>
          </cell>
          <cell r="L231">
            <v>-742.23</v>
          </cell>
          <cell r="M231">
            <v>400.81</v>
          </cell>
          <cell r="N231">
            <v>-3420.89</v>
          </cell>
          <cell r="O231">
            <v>-459.92</v>
          </cell>
          <cell r="P231">
            <v>6985.58</v>
          </cell>
          <cell r="Q231">
            <v>-261.22000000000003</v>
          </cell>
          <cell r="R231">
            <v>-120.27</v>
          </cell>
          <cell r="S231">
            <v>-303.20999999999998</v>
          </cell>
          <cell r="T231">
            <v>6833.23</v>
          </cell>
          <cell r="U231">
            <v>-252.9</v>
          </cell>
          <cell r="V231">
            <v>-109.47</v>
          </cell>
          <cell r="W231">
            <v>1819.78</v>
          </cell>
          <cell r="X231">
            <v>-994.3</v>
          </cell>
          <cell r="Y231">
            <v>-1501.44</v>
          </cell>
          <cell r="Z231">
            <v>1593.99</v>
          </cell>
          <cell r="AA231">
            <v>2432.75</v>
          </cell>
          <cell r="AB231">
            <v>-340.05</v>
          </cell>
          <cell r="AC231">
            <v>-3367.92</v>
          </cell>
          <cell r="AD231">
            <v>-658.86</v>
          </cell>
          <cell r="AE231">
            <v>-1316.26</v>
          </cell>
          <cell r="AF231">
            <v>51.92</v>
          </cell>
          <cell r="AG231">
            <v>-333.68</v>
          </cell>
          <cell r="AH231">
            <v>-63.89</v>
          </cell>
          <cell r="AI231">
            <v>-2396.66</v>
          </cell>
          <cell r="AJ231">
            <v>-217.35</v>
          </cell>
          <cell r="AK231">
            <v>-6500.29</v>
          </cell>
          <cell r="AL231">
            <v>805.9</v>
          </cell>
          <cell r="AM231">
            <v>901.45</v>
          </cell>
          <cell r="AN231">
            <v>-105.53</v>
          </cell>
          <cell r="AO231">
            <v>-595.63</v>
          </cell>
          <cell r="AP231">
            <v>-135.69999999999999</v>
          </cell>
          <cell r="AQ231">
            <v>-3617.52</v>
          </cell>
          <cell r="AR231">
            <v>5132.51</v>
          </cell>
          <cell r="AS231">
            <v>-161.07</v>
          </cell>
          <cell r="AT231">
            <v>-1050.7</v>
          </cell>
          <cell r="AU231">
            <v>-2164.7399999999998</v>
          </cell>
          <cell r="AV231">
            <v>2120.8200000000002</v>
          </cell>
          <cell r="AW231">
            <v>1467.49</v>
          </cell>
          <cell r="AX231">
            <v>-449.38</v>
          </cell>
          <cell r="AY231">
            <v>-1335.21</v>
          </cell>
          <cell r="AZ231">
            <v>-1073.9000000000001</v>
          </cell>
          <cell r="BA231">
            <v>501.09</v>
          </cell>
          <cell r="BB231">
            <v>-865.29</v>
          </cell>
          <cell r="BC231">
            <v>-868.27</v>
          </cell>
          <cell r="BD231">
            <v>-1547.76</v>
          </cell>
          <cell r="BE231">
            <v>-927.41</v>
          </cell>
          <cell r="BF231">
            <v>-1396.02</v>
          </cell>
          <cell r="BG231">
            <v>-18345.18</v>
          </cell>
          <cell r="BH231">
            <v>-22374.97</v>
          </cell>
          <cell r="BI231">
            <v>436.58</v>
          </cell>
          <cell r="BJ231">
            <v>-521.5</v>
          </cell>
          <cell r="BK231">
            <v>-3757.94</v>
          </cell>
          <cell r="BL231">
            <v>-3103.29</v>
          </cell>
          <cell r="BM231">
            <v>-6433.94</v>
          </cell>
          <cell r="BN231">
            <v>-627.89</v>
          </cell>
          <cell r="BO231">
            <v>16179.03</v>
          </cell>
          <cell r="BP231">
            <v>-739.01</v>
          </cell>
          <cell r="BQ231">
            <v>7314.98</v>
          </cell>
          <cell r="BR231">
            <v>-9113.7800000000007</v>
          </cell>
          <cell r="BS231">
            <v>174.77</v>
          </cell>
          <cell r="BT231">
            <v>-721.42</v>
          </cell>
          <cell r="BU231">
            <v>-2896.02</v>
          </cell>
          <cell r="BV231">
            <v>-1008.1</v>
          </cell>
          <cell r="BW231">
            <v>-486.92</v>
          </cell>
          <cell r="BX231">
            <v>-622.09</v>
          </cell>
          <cell r="BY231">
            <v>-1649.27</v>
          </cell>
          <cell r="BZ231">
            <v>-780.34</v>
          </cell>
          <cell r="CA231">
            <v>-599.75</v>
          </cell>
          <cell r="CB231">
            <v>-3829.62</v>
          </cell>
          <cell r="CC231">
            <v>-6529.1</v>
          </cell>
          <cell r="CD231">
            <v>-2331.41</v>
          </cell>
          <cell r="CE231">
            <v>-1592.63</v>
          </cell>
          <cell r="CF231">
            <v>-1691.32</v>
          </cell>
          <cell r="CG231">
            <v>-1206.0999999999999</v>
          </cell>
          <cell r="CH231">
            <v>-2874.83</v>
          </cell>
          <cell r="CI231">
            <v>-1960.36</v>
          </cell>
          <cell r="CJ231">
            <v>-3253.64</v>
          </cell>
          <cell r="CK231">
            <v>3966.27</v>
          </cell>
          <cell r="CL231">
            <v>-2510.98</v>
          </cell>
          <cell r="CM231">
            <v>-1116.5</v>
          </cell>
          <cell r="CN231">
            <v>1063.33</v>
          </cell>
          <cell r="CO231">
            <v>10457.32</v>
          </cell>
          <cell r="CP231">
            <v>39407.85</v>
          </cell>
          <cell r="CQ231">
            <v>2468.21</v>
          </cell>
          <cell r="CR231">
            <v>636.54</v>
          </cell>
          <cell r="CS231">
            <v>-424.52</v>
          </cell>
          <cell r="CT231">
            <v>-141.5</v>
          </cell>
          <cell r="CU231">
            <v>-4318.1400000000003</v>
          </cell>
          <cell r="CV231">
            <v>2590.1799999999998</v>
          </cell>
          <cell r="CW231">
            <v>-189.73</v>
          </cell>
          <cell r="CX231">
            <v>-500.17</v>
          </cell>
          <cell r="CY231">
            <v>-602.41999999999996</v>
          </cell>
          <cell r="CZ231">
            <v>1160.52</v>
          </cell>
          <cell r="DA231">
            <v>-490.71</v>
          </cell>
          <cell r="DB231">
            <v>-51.2</v>
          </cell>
          <cell r="DC231">
            <v>0.2</v>
          </cell>
          <cell r="DD231">
            <v>6.12</v>
          </cell>
          <cell r="DE231">
            <v>-21.11</v>
          </cell>
          <cell r="DF231">
            <v>-93.73</v>
          </cell>
          <cell r="DG231">
            <v>-141.16999999999999</v>
          </cell>
          <cell r="DH231">
            <v>1666.7799999999995</v>
          </cell>
        </row>
        <row r="232">
          <cell r="A232" t="str">
            <v>6401300</v>
          </cell>
          <cell r="B232" t="str">
            <v>6401300</v>
          </cell>
          <cell r="C232" t="str">
            <v>Re-Stock Salvage</v>
          </cell>
          <cell r="D232">
            <v>0</v>
          </cell>
          <cell r="E232">
            <v>-2631.05</v>
          </cell>
          <cell r="F232">
            <v>0</v>
          </cell>
          <cell r="G232">
            <v>64.540000000000006</v>
          </cell>
          <cell r="H232">
            <v>134.11000000000001</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row>
        <row r="233">
          <cell r="A233" t="str">
            <v>6408999</v>
          </cell>
          <cell r="B233" t="str">
            <v>6408999</v>
          </cell>
          <cell r="C233" t="str">
            <v>M&amp;S Exp Reclass</v>
          </cell>
          <cell r="D233">
            <v>1026893.67</v>
          </cell>
          <cell r="E233">
            <v>0</v>
          </cell>
          <cell r="F233">
            <v>0</v>
          </cell>
          <cell r="G233">
            <v>-3981.66</v>
          </cell>
          <cell r="H233">
            <v>3981.66</v>
          </cell>
          <cell r="I233">
            <v>0</v>
          </cell>
          <cell r="J233">
            <v>0</v>
          </cell>
          <cell r="K233">
            <v>0</v>
          </cell>
          <cell r="L233">
            <v>0</v>
          </cell>
          <cell r="M233">
            <v>-959650.73</v>
          </cell>
          <cell r="N233">
            <v>641</v>
          </cell>
          <cell r="O233">
            <v>12135.48</v>
          </cell>
          <cell r="P233">
            <v>0</v>
          </cell>
          <cell r="Q233">
            <v>0</v>
          </cell>
          <cell r="R233">
            <v>0</v>
          </cell>
          <cell r="S233">
            <v>0</v>
          </cell>
          <cell r="T233">
            <v>-1137.6600000000001</v>
          </cell>
          <cell r="U233">
            <v>0</v>
          </cell>
          <cell r="V233">
            <v>-0.44</v>
          </cell>
          <cell r="W233">
            <v>0</v>
          </cell>
          <cell r="X233">
            <v>0</v>
          </cell>
          <cell r="Y233">
            <v>0</v>
          </cell>
          <cell r="Z233">
            <v>-6963.15</v>
          </cell>
          <cell r="AA233">
            <v>-873.64</v>
          </cell>
          <cell r="AB233">
            <v>-29.29</v>
          </cell>
          <cell r="AC233">
            <v>0</v>
          </cell>
          <cell r="AD233">
            <v>0</v>
          </cell>
          <cell r="AE233">
            <v>0</v>
          </cell>
          <cell r="AF233">
            <v>0</v>
          </cell>
          <cell r="AG233">
            <v>0</v>
          </cell>
          <cell r="AH233">
            <v>0</v>
          </cell>
          <cell r="AI233">
            <v>0</v>
          </cell>
          <cell r="AJ233">
            <v>0</v>
          </cell>
          <cell r="AK233">
            <v>0</v>
          </cell>
          <cell r="AL233">
            <v>0</v>
          </cell>
          <cell r="AM233">
            <v>-85500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48.79</v>
          </cell>
          <cell r="BF233">
            <v>0</v>
          </cell>
          <cell r="BG233">
            <v>-452827.39</v>
          </cell>
          <cell r="BH233">
            <v>452901.08</v>
          </cell>
          <cell r="BI233">
            <v>0</v>
          </cell>
          <cell r="BJ233">
            <v>48.79</v>
          </cell>
          <cell r="BK233">
            <v>161168.89000000001</v>
          </cell>
          <cell r="BL233">
            <v>0</v>
          </cell>
          <cell r="BM233">
            <v>0</v>
          </cell>
          <cell r="BN233">
            <v>0</v>
          </cell>
          <cell r="BO233">
            <v>11440.09</v>
          </cell>
          <cell r="BP233">
            <v>0</v>
          </cell>
          <cell r="BQ233">
            <v>0</v>
          </cell>
          <cell r="BR233">
            <v>0</v>
          </cell>
          <cell r="BS233">
            <v>0</v>
          </cell>
          <cell r="BT233">
            <v>0</v>
          </cell>
          <cell r="BU233">
            <v>0</v>
          </cell>
          <cell r="BV233">
            <v>0</v>
          </cell>
          <cell r="BW233">
            <v>30170.34</v>
          </cell>
          <cell r="BX233">
            <v>0</v>
          </cell>
          <cell r="BY233">
            <v>0</v>
          </cell>
          <cell r="BZ233">
            <v>0</v>
          </cell>
          <cell r="CA233">
            <v>0</v>
          </cell>
          <cell r="CB233">
            <v>0</v>
          </cell>
          <cell r="CC233">
            <v>0</v>
          </cell>
          <cell r="CD233">
            <v>0</v>
          </cell>
          <cell r="CE233">
            <v>101945.03</v>
          </cell>
          <cell r="CF233">
            <v>56526.81</v>
          </cell>
          <cell r="CG233">
            <v>0</v>
          </cell>
          <cell r="CH233">
            <v>0</v>
          </cell>
          <cell r="CI233">
            <v>0</v>
          </cell>
          <cell r="CJ233">
            <v>0</v>
          </cell>
          <cell r="CK233">
            <v>876.27</v>
          </cell>
          <cell r="CL233">
            <v>0</v>
          </cell>
          <cell r="CM233">
            <v>2469.14</v>
          </cell>
          <cell r="CN233">
            <v>0</v>
          </cell>
          <cell r="CO233">
            <v>83903.02</v>
          </cell>
          <cell r="CP233">
            <v>63300</v>
          </cell>
          <cell r="CQ233">
            <v>0</v>
          </cell>
          <cell r="CR233">
            <v>384738.61</v>
          </cell>
          <cell r="CS233">
            <v>0</v>
          </cell>
          <cell r="CT233">
            <v>19092.32</v>
          </cell>
          <cell r="CU233">
            <v>226.63</v>
          </cell>
          <cell r="CV233">
            <v>0</v>
          </cell>
          <cell r="CW233">
            <v>74.12</v>
          </cell>
          <cell r="CX233">
            <v>1177.97</v>
          </cell>
          <cell r="CY233">
            <v>0</v>
          </cell>
          <cell r="CZ233">
            <v>0</v>
          </cell>
          <cell r="DA233">
            <v>0</v>
          </cell>
          <cell r="DB233">
            <v>0</v>
          </cell>
          <cell r="DC233">
            <v>22825.48</v>
          </cell>
          <cell r="DD233">
            <v>0</v>
          </cell>
          <cell r="DE233">
            <v>-8381.5300000000007</v>
          </cell>
          <cell r="DF233">
            <v>8381.5300000000007</v>
          </cell>
          <cell r="DG233">
            <v>162.13</v>
          </cell>
          <cell r="DH233">
            <v>24239.7</v>
          </cell>
        </row>
        <row r="234">
          <cell r="A234" t="str">
            <v>6409000</v>
          </cell>
          <cell r="B234" t="str">
            <v>6409000</v>
          </cell>
          <cell r="C234" t="str">
            <v>M&amp;S to BalSheet</v>
          </cell>
          <cell r="D234">
            <v>-2758645.01</v>
          </cell>
          <cell r="E234">
            <v>-920758.37</v>
          </cell>
          <cell r="F234">
            <v>-1381855.96</v>
          </cell>
          <cell r="G234">
            <v>-1695441.76</v>
          </cell>
          <cell r="H234">
            <v>-1442301.38</v>
          </cell>
          <cell r="I234">
            <v>-1466946.29</v>
          </cell>
          <cell r="J234">
            <v>-2172415.09</v>
          </cell>
          <cell r="K234">
            <v>-1733613.53</v>
          </cell>
          <cell r="L234">
            <v>-1202704.48</v>
          </cell>
          <cell r="M234">
            <v>-1303447.6000000001</v>
          </cell>
          <cell r="N234">
            <v>-1409146.25</v>
          </cell>
          <cell r="O234">
            <v>-2819093.78</v>
          </cell>
          <cell r="P234">
            <v>-1005298.41</v>
          </cell>
          <cell r="Q234">
            <v>-817746.12</v>
          </cell>
          <cell r="R234">
            <v>-1718895.03</v>
          </cell>
          <cell r="S234">
            <v>-1639780.21</v>
          </cell>
          <cell r="T234">
            <v>-2066942.23</v>
          </cell>
          <cell r="U234">
            <v>-2029589.37</v>
          </cell>
          <cell r="V234">
            <v>-1823598.59</v>
          </cell>
          <cell r="W234">
            <v>-1502290.8</v>
          </cell>
          <cell r="X234">
            <v>-2032095.11</v>
          </cell>
          <cell r="Y234">
            <v>-2183928.1800000002</v>
          </cell>
          <cell r="Z234">
            <v>-3592335.43</v>
          </cell>
          <cell r="AA234">
            <v>-4064351.95</v>
          </cell>
          <cell r="AB234">
            <v>-706616.8</v>
          </cell>
          <cell r="AC234">
            <v>-2118030.9500000002</v>
          </cell>
          <cell r="AD234">
            <v>-2335664.17</v>
          </cell>
          <cell r="AE234">
            <v>-1813758.93</v>
          </cell>
          <cell r="AF234">
            <v>-1710020.85</v>
          </cell>
          <cell r="AG234">
            <v>-3897707.61</v>
          </cell>
          <cell r="AH234">
            <v>-1720276.09</v>
          </cell>
          <cell r="AI234">
            <v>-2326367.0099999998</v>
          </cell>
          <cell r="AJ234">
            <v>-2040477.11</v>
          </cell>
          <cell r="AK234">
            <v>-2089394.06</v>
          </cell>
          <cell r="AL234">
            <v>-2279002</v>
          </cell>
          <cell r="AM234">
            <v>-3067547.3</v>
          </cell>
          <cell r="AN234">
            <v>-1462777.24</v>
          </cell>
          <cell r="AO234">
            <v>-1672115.31</v>
          </cell>
          <cell r="AP234">
            <v>-2252201.09</v>
          </cell>
          <cell r="AQ234">
            <v>-1510765.73</v>
          </cell>
          <cell r="AR234">
            <v>-2967458.42</v>
          </cell>
          <cell r="AS234">
            <v>-1959867.59</v>
          </cell>
          <cell r="AT234">
            <v>-2650906.85</v>
          </cell>
          <cell r="AU234">
            <v>-3083565.28</v>
          </cell>
          <cell r="AV234">
            <v>-2551535.0299999998</v>
          </cell>
          <cell r="AW234">
            <v>-2580997.5</v>
          </cell>
          <cell r="AX234">
            <v>-1884347.65</v>
          </cell>
          <cell r="AY234">
            <v>-3984262.28</v>
          </cell>
          <cell r="AZ234">
            <v>-1420871.9</v>
          </cell>
          <cell r="BA234">
            <v>-1528271.19</v>
          </cell>
          <cell r="BB234">
            <v>-3159835.78</v>
          </cell>
          <cell r="BC234">
            <v>-1848206.21</v>
          </cell>
          <cell r="BD234">
            <v>-3369369.19</v>
          </cell>
          <cell r="BE234">
            <v>-2385002.71</v>
          </cell>
          <cell r="BF234">
            <v>-2278675</v>
          </cell>
          <cell r="BG234">
            <v>-3450410.86</v>
          </cell>
          <cell r="BH234">
            <v>-5359974.1100000003</v>
          </cell>
          <cell r="BI234">
            <v>-3085838.56</v>
          </cell>
          <cell r="BJ234">
            <v>-3452224.34</v>
          </cell>
          <cell r="BK234">
            <v>-3423844.66</v>
          </cell>
          <cell r="BL234">
            <v>-2110527.15</v>
          </cell>
          <cell r="BM234">
            <v>-2501240.35</v>
          </cell>
          <cell r="BN234">
            <v>-3936260.13</v>
          </cell>
          <cell r="BO234">
            <v>-2576315.1</v>
          </cell>
          <cell r="BP234">
            <v>-3185382.69</v>
          </cell>
          <cell r="BQ234">
            <v>-3469052.66</v>
          </cell>
          <cell r="BR234">
            <v>-4032479.04</v>
          </cell>
          <cell r="BS234">
            <v>-2984259.98</v>
          </cell>
          <cell r="BT234">
            <v>-2704487.76</v>
          </cell>
          <cell r="BU234">
            <v>-4211562.62</v>
          </cell>
          <cell r="BV234">
            <v>-2498060</v>
          </cell>
          <cell r="BW234">
            <v>-8113109.3899999997</v>
          </cell>
          <cell r="BX234">
            <v>-4576454.42</v>
          </cell>
          <cell r="BY234">
            <v>-3074556.9</v>
          </cell>
          <cell r="BZ234">
            <v>-2823729.72</v>
          </cell>
          <cell r="CA234">
            <v>-4456861.91</v>
          </cell>
          <cell r="CB234">
            <v>-5733922.71</v>
          </cell>
          <cell r="CC234">
            <v>-4787216.2</v>
          </cell>
          <cell r="CD234">
            <v>-4033866.19</v>
          </cell>
          <cell r="CE234">
            <v>-8669109.6999999993</v>
          </cell>
          <cell r="CF234">
            <v>-6339240.3300000001</v>
          </cell>
          <cell r="CG234">
            <v>-4466791.9000000004</v>
          </cell>
          <cell r="CH234">
            <v>-5829363.1299999999</v>
          </cell>
          <cell r="CI234">
            <v>-5616227.7300000004</v>
          </cell>
          <cell r="CJ234">
            <v>-4121136.4</v>
          </cell>
          <cell r="CK234">
            <v>-1691773.01</v>
          </cell>
          <cell r="CL234">
            <v>-2705260.6</v>
          </cell>
          <cell r="CM234">
            <v>-3531773.36</v>
          </cell>
          <cell r="CN234">
            <v>-2761956.59</v>
          </cell>
          <cell r="CO234">
            <v>-4711989.93</v>
          </cell>
          <cell r="CP234">
            <v>-11371396.76</v>
          </cell>
          <cell r="CQ234">
            <v>-4911564.78</v>
          </cell>
          <cell r="CR234">
            <v>-4199378.24</v>
          </cell>
          <cell r="CS234">
            <v>-4901816.71</v>
          </cell>
          <cell r="CT234">
            <v>-4179269.59</v>
          </cell>
          <cell r="CU234">
            <v>-7019557.3899999997</v>
          </cell>
          <cell r="CV234">
            <v>-3518727.79</v>
          </cell>
          <cell r="CW234">
            <v>-4035774.88</v>
          </cell>
          <cell r="CX234">
            <v>-5635484.4100000001</v>
          </cell>
          <cell r="CY234">
            <v>-3691653.92</v>
          </cell>
          <cell r="CZ234">
            <v>-3751600.4</v>
          </cell>
          <cell r="DA234">
            <v>-5347840.16</v>
          </cell>
          <cell r="DB234">
            <v>-4090204.01</v>
          </cell>
          <cell r="DC234">
            <v>-5305238.12</v>
          </cell>
          <cell r="DD234">
            <v>-6300967.1900000004</v>
          </cell>
          <cell r="DE234">
            <v>-4348603.97</v>
          </cell>
          <cell r="DF234">
            <v>-4198940.3899999997</v>
          </cell>
          <cell r="DG234">
            <v>-8809582.7599999998</v>
          </cell>
          <cell r="DH234">
            <v>-59034617.999999993</v>
          </cell>
        </row>
        <row r="235">
          <cell r="A235" t="str">
            <v>6500010</v>
          </cell>
          <cell r="B235" t="str">
            <v>6500010</v>
          </cell>
          <cell r="C235" t="str">
            <v>Transport-Vehicle</v>
          </cell>
          <cell r="D235">
            <v>82290.67</v>
          </cell>
          <cell r="E235">
            <v>82751.92</v>
          </cell>
          <cell r="F235">
            <v>98162.95</v>
          </cell>
          <cell r="G235">
            <v>66569.990000000005</v>
          </cell>
          <cell r="H235">
            <v>91203.44</v>
          </cell>
          <cell r="I235">
            <v>92610.14</v>
          </cell>
          <cell r="J235">
            <v>83068.83</v>
          </cell>
          <cell r="K235">
            <v>115090.97</v>
          </cell>
          <cell r="L235">
            <v>59249.68</v>
          </cell>
          <cell r="M235">
            <v>162576.28</v>
          </cell>
          <cell r="N235">
            <v>61791.65</v>
          </cell>
          <cell r="O235">
            <v>65772.69</v>
          </cell>
          <cell r="P235">
            <v>50632.09</v>
          </cell>
          <cell r="Q235">
            <v>66504.42</v>
          </cell>
          <cell r="R235">
            <v>63185.15</v>
          </cell>
          <cell r="S235">
            <v>77760.639999999999</v>
          </cell>
          <cell r="T235">
            <v>119029.41</v>
          </cell>
          <cell r="U235">
            <v>71557.94</v>
          </cell>
          <cell r="V235">
            <v>80732.84</v>
          </cell>
          <cell r="W235">
            <v>69941.47</v>
          </cell>
          <cell r="X235">
            <v>76524.75</v>
          </cell>
          <cell r="Y235">
            <v>63626.5</v>
          </cell>
          <cell r="Z235">
            <v>119308.45</v>
          </cell>
          <cell r="AA235">
            <v>73138.69</v>
          </cell>
          <cell r="AB235">
            <v>13316.47</v>
          </cell>
          <cell r="AC235">
            <v>65655.740000000005</v>
          </cell>
          <cell r="AD235">
            <v>109954.69</v>
          </cell>
          <cell r="AE235">
            <v>86849.29</v>
          </cell>
          <cell r="AF235">
            <v>77943.520000000004</v>
          </cell>
          <cell r="AG235">
            <v>80254.95</v>
          </cell>
          <cell r="AH235">
            <v>80448.490000000005</v>
          </cell>
          <cell r="AI235">
            <v>84474.34</v>
          </cell>
          <cell r="AJ235">
            <v>78444.08</v>
          </cell>
          <cell r="AK235">
            <v>166089.15</v>
          </cell>
          <cell r="AL235">
            <v>66982.960000000006</v>
          </cell>
          <cell r="AM235">
            <v>102320.4</v>
          </cell>
          <cell r="AN235">
            <v>72855.009999999995</v>
          </cell>
          <cell r="AO235">
            <v>92155.83</v>
          </cell>
          <cell r="AP235">
            <v>129366.86</v>
          </cell>
          <cell r="AQ235">
            <v>104835.62</v>
          </cell>
          <cell r="AR235">
            <v>58584.42</v>
          </cell>
          <cell r="AS235">
            <v>103822.65</v>
          </cell>
          <cell r="AT235">
            <v>77993.83</v>
          </cell>
          <cell r="AU235">
            <v>73673.42</v>
          </cell>
          <cell r="AV235">
            <v>85244.97</v>
          </cell>
          <cell r="AW235">
            <v>70444.160000000003</v>
          </cell>
          <cell r="AX235">
            <v>87179.89</v>
          </cell>
          <cell r="AY235">
            <v>126385.77</v>
          </cell>
          <cell r="AZ235">
            <v>52373.33</v>
          </cell>
          <cell r="BA235">
            <v>85210.8</v>
          </cell>
          <cell r="BB235">
            <v>76488.02</v>
          </cell>
          <cell r="BC235">
            <v>60060.35</v>
          </cell>
          <cell r="BD235">
            <v>136767.42000000001</v>
          </cell>
          <cell r="BE235">
            <v>56508.68</v>
          </cell>
          <cell r="BF235">
            <v>111269.49</v>
          </cell>
          <cell r="BG235">
            <v>96830.26</v>
          </cell>
          <cell r="BH235">
            <v>52159.83</v>
          </cell>
          <cell r="BI235">
            <v>112341.15</v>
          </cell>
          <cell r="BJ235">
            <v>83777.320000000007</v>
          </cell>
          <cell r="BK235">
            <v>129895.16</v>
          </cell>
          <cell r="BL235">
            <v>61156.76</v>
          </cell>
          <cell r="BM235">
            <v>111669.02</v>
          </cell>
          <cell r="BN235">
            <v>125516.73</v>
          </cell>
          <cell r="BO235">
            <v>82252.789999999994</v>
          </cell>
          <cell r="BP235">
            <v>92542.76</v>
          </cell>
          <cell r="BQ235">
            <v>86585.44</v>
          </cell>
          <cell r="BR235">
            <v>93764.84</v>
          </cell>
          <cell r="BS235">
            <v>108406.8</v>
          </cell>
          <cell r="BT235">
            <v>61711.71</v>
          </cell>
          <cell r="BU235">
            <v>106888.97</v>
          </cell>
          <cell r="BV235">
            <v>99646.95</v>
          </cell>
          <cell r="BW235">
            <v>126823.49</v>
          </cell>
          <cell r="BX235">
            <v>63789.51</v>
          </cell>
          <cell r="BY235">
            <v>90871.74</v>
          </cell>
          <cell r="BZ235">
            <v>77757.399999999994</v>
          </cell>
          <cell r="CA235">
            <v>106774.93</v>
          </cell>
          <cell r="CB235">
            <v>70560.02</v>
          </cell>
          <cell r="CC235">
            <v>46811.54</v>
          </cell>
          <cell r="CD235">
            <v>93693.65</v>
          </cell>
          <cell r="CE235">
            <v>95853</v>
          </cell>
          <cell r="CF235">
            <v>69294.47</v>
          </cell>
          <cell r="CG235">
            <v>81386.460000000006</v>
          </cell>
          <cell r="CH235">
            <v>71092.25</v>
          </cell>
          <cell r="CI235">
            <v>125792.62</v>
          </cell>
          <cell r="CJ235">
            <v>42583.53</v>
          </cell>
          <cell r="CK235">
            <v>104889.31</v>
          </cell>
          <cell r="CL235">
            <v>67520.7</v>
          </cell>
          <cell r="CM235">
            <v>118971.97</v>
          </cell>
          <cell r="CN235">
            <v>62273.67</v>
          </cell>
          <cell r="CO235">
            <v>128691.57</v>
          </cell>
          <cell r="CP235">
            <v>176299.67</v>
          </cell>
          <cell r="CQ235">
            <v>90601.33</v>
          </cell>
          <cell r="CR235">
            <v>71065.62</v>
          </cell>
          <cell r="CS235">
            <v>155657.04</v>
          </cell>
          <cell r="CT235">
            <v>93574.82</v>
          </cell>
          <cell r="CU235">
            <v>103274.37</v>
          </cell>
          <cell r="CV235">
            <v>90585.29</v>
          </cell>
          <cell r="CW235">
            <v>81292.52</v>
          </cell>
          <cell r="CX235">
            <v>137633.71</v>
          </cell>
          <cell r="CY235">
            <v>211481.98</v>
          </cell>
          <cell r="CZ235">
            <v>54435.02</v>
          </cell>
          <cell r="DA235">
            <v>61790.879999999997</v>
          </cell>
          <cell r="DB235">
            <v>72198.490000000005</v>
          </cell>
          <cell r="DC235">
            <v>135126.09</v>
          </cell>
          <cell r="DD235">
            <v>102753.35</v>
          </cell>
          <cell r="DE235">
            <v>167438.37</v>
          </cell>
          <cell r="DF235">
            <v>232029.45</v>
          </cell>
          <cell r="DG235">
            <v>130237.37</v>
          </cell>
          <cell r="DH235">
            <v>1477002.52</v>
          </cell>
        </row>
        <row r="236">
          <cell r="A236" t="str">
            <v>6500015</v>
          </cell>
          <cell r="B236" t="str">
            <v>6500015</v>
          </cell>
          <cell r="C236" t="str">
            <v>Transport-Veh Gas</v>
          </cell>
          <cell r="D236">
            <v>102151.31</v>
          </cell>
          <cell r="E236">
            <v>108533.07</v>
          </cell>
          <cell r="F236">
            <v>110507.11</v>
          </cell>
          <cell r="G236">
            <v>85669.21</v>
          </cell>
          <cell r="H236">
            <v>118527.05</v>
          </cell>
          <cell r="I236">
            <v>115356.25</v>
          </cell>
          <cell r="J236">
            <v>137077.09</v>
          </cell>
          <cell r="K236">
            <v>121006.48</v>
          </cell>
          <cell r="L236">
            <v>120425.63</v>
          </cell>
          <cell r="M236">
            <v>138226.09</v>
          </cell>
          <cell r="N236">
            <v>140663.67000000001</v>
          </cell>
          <cell r="O236">
            <v>99592.87</v>
          </cell>
          <cell r="P236">
            <v>97811.67</v>
          </cell>
          <cell r="Q236">
            <v>87664.71</v>
          </cell>
          <cell r="R236">
            <v>84446.23</v>
          </cell>
          <cell r="S236">
            <v>109891.07</v>
          </cell>
          <cell r="T236">
            <v>108263.18</v>
          </cell>
          <cell r="U236">
            <v>107299.84</v>
          </cell>
          <cell r="V236">
            <v>120516.43</v>
          </cell>
          <cell r="W236">
            <v>101631</v>
          </cell>
          <cell r="X236">
            <v>100259.04</v>
          </cell>
          <cell r="Y236">
            <v>98761.14</v>
          </cell>
          <cell r="Z236">
            <v>102654.39999999999</v>
          </cell>
          <cell r="AA236">
            <v>85245.27</v>
          </cell>
          <cell r="AB236">
            <v>86348.25</v>
          </cell>
          <cell r="AC236">
            <v>84322.16</v>
          </cell>
          <cell r="AD236">
            <v>90733.68</v>
          </cell>
          <cell r="AE236">
            <v>85888.94</v>
          </cell>
          <cell r="AF236">
            <v>90756.99</v>
          </cell>
          <cell r="AG236">
            <v>99051.01</v>
          </cell>
          <cell r="AH236">
            <v>108583.23</v>
          </cell>
          <cell r="AI236">
            <v>92241.25</v>
          </cell>
          <cell r="AJ236">
            <v>106847.88</v>
          </cell>
          <cell r="AK236">
            <v>104561.28</v>
          </cell>
          <cell r="AL236">
            <v>120492.62</v>
          </cell>
          <cell r="AM236">
            <v>92986.41</v>
          </cell>
          <cell r="AN236">
            <v>85732.34</v>
          </cell>
          <cell r="AO236">
            <v>109492.93</v>
          </cell>
          <cell r="AP236">
            <v>99027.39</v>
          </cell>
          <cell r="AQ236">
            <v>99666.26</v>
          </cell>
          <cell r="AR236">
            <v>104591</v>
          </cell>
          <cell r="AS236">
            <v>119544.71</v>
          </cell>
          <cell r="AT236">
            <v>109208.19</v>
          </cell>
          <cell r="AU236">
            <v>98542.16</v>
          </cell>
          <cell r="AV236">
            <v>127829.14</v>
          </cell>
          <cell r="AW236">
            <v>114084.48</v>
          </cell>
          <cell r="AX236">
            <v>118764.48</v>
          </cell>
          <cell r="AY236">
            <v>111069.2</v>
          </cell>
          <cell r="AZ236">
            <v>97746.72</v>
          </cell>
          <cell r="BA236">
            <v>129975.23</v>
          </cell>
          <cell r="BB236">
            <v>119032.49</v>
          </cell>
          <cell r="BC236">
            <v>121195.64</v>
          </cell>
          <cell r="BD236">
            <v>127484.97</v>
          </cell>
          <cell r="BE236">
            <v>134312.09</v>
          </cell>
          <cell r="BF236">
            <v>134924.04</v>
          </cell>
          <cell r="BG236">
            <v>159017.15</v>
          </cell>
          <cell r="BH236">
            <v>133982.01999999999</v>
          </cell>
          <cell r="BI236">
            <v>128700.48</v>
          </cell>
          <cell r="BJ236">
            <v>147143.91</v>
          </cell>
          <cell r="BK236">
            <v>130993.61</v>
          </cell>
          <cell r="BL236">
            <v>98353.72</v>
          </cell>
          <cell r="BM236">
            <v>138757</v>
          </cell>
          <cell r="BN236">
            <v>89637.3</v>
          </cell>
          <cell r="BO236">
            <v>125041.81</v>
          </cell>
          <cell r="BP236">
            <v>129403.89</v>
          </cell>
          <cell r="BQ236">
            <v>135457.41</v>
          </cell>
          <cell r="BR236">
            <v>115093.07</v>
          </cell>
          <cell r="BS236">
            <v>140107.51999999999</v>
          </cell>
          <cell r="BT236">
            <v>140317.12</v>
          </cell>
          <cell r="BU236">
            <v>121235.06</v>
          </cell>
          <cell r="BV236">
            <v>141316.85</v>
          </cell>
          <cell r="BW236">
            <v>113365.75999999999</v>
          </cell>
          <cell r="BX236">
            <v>117773.78</v>
          </cell>
          <cell r="BY236">
            <v>135300.34</v>
          </cell>
          <cell r="BZ236">
            <v>124370.56</v>
          </cell>
          <cell r="CA236">
            <v>105916.1</v>
          </cell>
          <cell r="CB236">
            <v>85671.44</v>
          </cell>
          <cell r="CC236">
            <v>81964.52</v>
          </cell>
          <cell r="CD236">
            <v>106780.66</v>
          </cell>
          <cell r="CE236">
            <v>111063.63</v>
          </cell>
          <cell r="CF236">
            <v>107521.33</v>
          </cell>
          <cell r="CG236">
            <v>114629.14</v>
          </cell>
          <cell r="CH236">
            <v>116804.52</v>
          </cell>
          <cell r="CI236">
            <v>92227.520000000004</v>
          </cell>
          <cell r="CJ236">
            <v>104034.91</v>
          </cell>
          <cell r="CK236">
            <v>109252.26</v>
          </cell>
          <cell r="CL236">
            <v>123241.45</v>
          </cell>
          <cell r="CM236">
            <v>153745.13</v>
          </cell>
          <cell r="CN236">
            <v>138229.28</v>
          </cell>
          <cell r="CO236">
            <v>136601.45000000001</v>
          </cell>
          <cell r="CP236">
            <v>150155.65</v>
          </cell>
          <cell r="CQ236">
            <v>174614.13</v>
          </cell>
          <cell r="CR236">
            <v>169082.22</v>
          </cell>
          <cell r="CS236">
            <v>167118.35999999999</v>
          </cell>
          <cell r="CT236">
            <v>176100.67</v>
          </cell>
          <cell r="CU236">
            <v>154221.82999999999</v>
          </cell>
          <cell r="CV236">
            <v>152146.13</v>
          </cell>
          <cell r="CW236">
            <v>166918.43</v>
          </cell>
          <cell r="CX236">
            <v>178761.92</v>
          </cell>
          <cell r="CY236">
            <v>235523.26</v>
          </cell>
          <cell r="CZ236">
            <v>214091.64</v>
          </cell>
          <cell r="DA236">
            <v>243820.51</v>
          </cell>
          <cell r="DB236">
            <v>283312.40999999997</v>
          </cell>
          <cell r="DC236">
            <v>238027.37</v>
          </cell>
          <cell r="DD236">
            <v>245219.5</v>
          </cell>
          <cell r="DE236">
            <v>208364.5</v>
          </cell>
          <cell r="DF236">
            <v>202789.91</v>
          </cell>
          <cell r="DG236">
            <v>197160.23</v>
          </cell>
          <cell r="DH236">
            <v>2566135.81</v>
          </cell>
        </row>
        <row r="237">
          <cell r="A237" t="str">
            <v>6500020</v>
          </cell>
          <cell r="B237" t="str">
            <v>6500020</v>
          </cell>
          <cell r="C237" t="str">
            <v>Transport-Trailers</v>
          </cell>
          <cell r="D237">
            <v>130</v>
          </cell>
          <cell r="E237">
            <v>13</v>
          </cell>
          <cell r="F237">
            <v>156</v>
          </cell>
          <cell r="G237">
            <v>13</v>
          </cell>
          <cell r="H237">
            <v>11731.3</v>
          </cell>
          <cell r="I237">
            <v>143</v>
          </cell>
          <cell r="J237">
            <v>143</v>
          </cell>
          <cell r="K237">
            <v>-292.47000000000003</v>
          </cell>
          <cell r="L237">
            <v>221885</v>
          </cell>
          <cell r="M237">
            <v>228635.89</v>
          </cell>
          <cell r="N237">
            <v>143</v>
          </cell>
          <cell r="O237">
            <v>143</v>
          </cell>
          <cell r="P237">
            <v>143</v>
          </cell>
          <cell r="Q237">
            <v>143</v>
          </cell>
          <cell r="R237">
            <v>143</v>
          </cell>
          <cell r="S237">
            <v>192.15</v>
          </cell>
          <cell r="T237">
            <v>126.21</v>
          </cell>
          <cell r="U237">
            <v>147.41</v>
          </cell>
          <cell r="V237">
            <v>91</v>
          </cell>
          <cell r="W237">
            <v>-1104.27</v>
          </cell>
          <cell r="X237">
            <v>0</v>
          </cell>
          <cell r="Y237">
            <v>0</v>
          </cell>
          <cell r="Z237">
            <v>0</v>
          </cell>
          <cell r="AA237">
            <v>0</v>
          </cell>
          <cell r="AB237">
            <v>0</v>
          </cell>
          <cell r="AC237">
            <v>0</v>
          </cell>
          <cell r="AD237">
            <v>0</v>
          </cell>
          <cell r="AE237">
            <v>0</v>
          </cell>
          <cell r="AF237">
            <v>100.88</v>
          </cell>
          <cell r="AG237">
            <v>0</v>
          </cell>
          <cell r="AH237">
            <v>0</v>
          </cell>
          <cell r="AI237">
            <v>0</v>
          </cell>
          <cell r="AJ237">
            <v>0</v>
          </cell>
          <cell r="AK237">
            <v>0</v>
          </cell>
          <cell r="AL237">
            <v>0</v>
          </cell>
          <cell r="AM237">
            <v>98.01</v>
          </cell>
          <cell r="AN237">
            <v>619.59</v>
          </cell>
          <cell r="AO237">
            <v>0</v>
          </cell>
          <cell r="AP237">
            <v>191.23</v>
          </cell>
          <cell r="AQ237">
            <v>0</v>
          </cell>
          <cell r="AR237">
            <v>0</v>
          </cell>
          <cell r="AS237">
            <v>0</v>
          </cell>
          <cell r="AT237">
            <v>0</v>
          </cell>
          <cell r="AU237">
            <v>0</v>
          </cell>
          <cell r="AV237">
            <v>0</v>
          </cell>
          <cell r="AW237">
            <v>0</v>
          </cell>
          <cell r="AX237">
            <v>0</v>
          </cell>
          <cell r="AY237">
            <v>0</v>
          </cell>
          <cell r="AZ237">
            <v>0</v>
          </cell>
          <cell r="BA237">
            <v>0</v>
          </cell>
          <cell r="BB237">
            <v>1079.5</v>
          </cell>
          <cell r="BC237">
            <v>-70.63</v>
          </cell>
          <cell r="BD237">
            <v>252.83</v>
          </cell>
          <cell r="BE237">
            <v>0</v>
          </cell>
          <cell r="BF237">
            <v>0</v>
          </cell>
          <cell r="BG237">
            <v>0</v>
          </cell>
          <cell r="BH237">
            <v>0</v>
          </cell>
          <cell r="BI237">
            <v>0</v>
          </cell>
          <cell r="BJ237">
            <v>0</v>
          </cell>
          <cell r="BK237">
            <v>0</v>
          </cell>
          <cell r="BL237">
            <v>0</v>
          </cell>
          <cell r="BM237">
            <v>608.26</v>
          </cell>
          <cell r="BN237">
            <v>-0.54</v>
          </cell>
          <cell r="BO237">
            <v>0</v>
          </cell>
          <cell r="BP237">
            <v>0</v>
          </cell>
          <cell r="BQ237">
            <v>0</v>
          </cell>
          <cell r="BR237">
            <v>0</v>
          </cell>
          <cell r="BS237">
            <v>2561.6799999999998</v>
          </cell>
          <cell r="BT237">
            <v>0</v>
          </cell>
          <cell r="BU237">
            <v>0</v>
          </cell>
          <cell r="BV237">
            <v>0</v>
          </cell>
          <cell r="BW237">
            <v>0</v>
          </cell>
          <cell r="BX237">
            <v>24.05</v>
          </cell>
          <cell r="BY237">
            <v>612.88</v>
          </cell>
          <cell r="BZ237">
            <v>0</v>
          </cell>
          <cell r="CA237">
            <v>0</v>
          </cell>
          <cell r="CB237">
            <v>0</v>
          </cell>
          <cell r="CC237">
            <v>13.99</v>
          </cell>
          <cell r="CD237">
            <v>0</v>
          </cell>
          <cell r="CE237">
            <v>0</v>
          </cell>
          <cell r="CF237">
            <v>0</v>
          </cell>
          <cell r="CG237">
            <v>0</v>
          </cell>
          <cell r="CH237">
            <v>0</v>
          </cell>
          <cell r="CI237">
            <v>0</v>
          </cell>
          <cell r="CJ237">
            <v>0</v>
          </cell>
          <cell r="CK237">
            <v>0</v>
          </cell>
          <cell r="CL237">
            <v>0</v>
          </cell>
          <cell r="CM237">
            <v>0</v>
          </cell>
          <cell r="CN237">
            <v>74.55</v>
          </cell>
          <cell r="CO237">
            <v>0</v>
          </cell>
          <cell r="CP237">
            <v>0</v>
          </cell>
          <cell r="CQ237">
            <v>0</v>
          </cell>
          <cell r="CR237">
            <v>0</v>
          </cell>
          <cell r="CS237">
            <v>93</v>
          </cell>
          <cell r="CT237">
            <v>-6.08</v>
          </cell>
          <cell r="CU237">
            <v>6.08</v>
          </cell>
          <cell r="CV237">
            <v>0</v>
          </cell>
          <cell r="CW237">
            <v>337.74</v>
          </cell>
          <cell r="CX237">
            <v>0</v>
          </cell>
          <cell r="CY237">
            <v>0</v>
          </cell>
          <cell r="CZ237">
            <v>0</v>
          </cell>
          <cell r="DA237">
            <v>0</v>
          </cell>
          <cell r="DB237">
            <v>0</v>
          </cell>
          <cell r="DC237">
            <v>0</v>
          </cell>
          <cell r="DD237">
            <v>0</v>
          </cell>
          <cell r="DE237">
            <v>0</v>
          </cell>
          <cell r="DF237">
            <v>0</v>
          </cell>
          <cell r="DG237">
            <v>0</v>
          </cell>
          <cell r="DH237">
            <v>337.74</v>
          </cell>
        </row>
        <row r="238">
          <cell r="A238" t="str">
            <v>6500810</v>
          </cell>
          <cell r="B238" t="str">
            <v>6500810</v>
          </cell>
          <cell r="C238" t="str">
            <v>Transp Veh Depr Oth</v>
          </cell>
          <cell r="D238">
            <v>139519.41</v>
          </cell>
          <cell r="E238">
            <v>135950.64000000001</v>
          </cell>
          <cell r="F238">
            <v>134421.28</v>
          </cell>
          <cell r="G238">
            <v>133855.57999999999</v>
          </cell>
          <cell r="H238">
            <v>133855.57999999999</v>
          </cell>
          <cell r="I238">
            <v>137512.59</v>
          </cell>
          <cell r="J238">
            <v>135624.81</v>
          </cell>
          <cell r="K238">
            <v>135629.15</v>
          </cell>
          <cell r="L238">
            <v>135620.42000000001</v>
          </cell>
          <cell r="M238">
            <v>135403.43</v>
          </cell>
          <cell r="N238">
            <v>137826.23000000001</v>
          </cell>
          <cell r="O238">
            <v>138371.76</v>
          </cell>
          <cell r="P238">
            <v>144483.5</v>
          </cell>
          <cell r="Q238">
            <v>144483.38</v>
          </cell>
          <cell r="R238">
            <v>144495.34</v>
          </cell>
          <cell r="S238">
            <v>140363.54</v>
          </cell>
          <cell r="T238">
            <v>141938.13</v>
          </cell>
          <cell r="U238">
            <v>143883.85999999999</v>
          </cell>
          <cell r="V238">
            <v>143886.72</v>
          </cell>
          <cell r="W238">
            <v>143894.41</v>
          </cell>
          <cell r="X238">
            <v>149508.57</v>
          </cell>
          <cell r="Y238">
            <v>155002.18</v>
          </cell>
          <cell r="Z238">
            <v>155899.26999999999</v>
          </cell>
          <cell r="AA238">
            <v>158734.78</v>
          </cell>
          <cell r="AB238">
            <v>159282.70000000001</v>
          </cell>
          <cell r="AC238">
            <v>161866.49</v>
          </cell>
          <cell r="AD238">
            <v>163028.34</v>
          </cell>
          <cell r="AE238">
            <v>161386.68</v>
          </cell>
          <cell r="AF238">
            <v>162039.95000000001</v>
          </cell>
          <cell r="AG238">
            <v>161607.31</v>
          </cell>
          <cell r="AH238">
            <v>83037.63</v>
          </cell>
          <cell r="AI238">
            <v>232331.28</v>
          </cell>
          <cell r="AJ238">
            <v>161073.94</v>
          </cell>
          <cell r="AK238">
            <v>160482.73000000001</v>
          </cell>
          <cell r="AL238">
            <v>163282.16</v>
          </cell>
          <cell r="AM238">
            <v>203401.38</v>
          </cell>
          <cell r="AN238">
            <v>173289.34</v>
          </cell>
          <cell r="AO238">
            <v>177967.55</v>
          </cell>
          <cell r="AP238">
            <v>177443.52</v>
          </cell>
          <cell r="AQ238">
            <v>179730.22</v>
          </cell>
          <cell r="AR238">
            <v>176589.98</v>
          </cell>
          <cell r="AS238">
            <v>176619.51</v>
          </cell>
          <cell r="AT238">
            <v>176481.19</v>
          </cell>
          <cell r="AU238">
            <v>176469.5</v>
          </cell>
          <cell r="AV238">
            <v>175937.82</v>
          </cell>
          <cell r="AW238">
            <v>175922.51</v>
          </cell>
          <cell r="AX238">
            <v>176492.47</v>
          </cell>
          <cell r="AY238">
            <v>180652.67</v>
          </cell>
          <cell r="AZ238">
            <v>181486.2</v>
          </cell>
          <cell r="BA238">
            <v>187257.89</v>
          </cell>
          <cell r="BB238">
            <v>188943.81</v>
          </cell>
          <cell r="BC238">
            <v>190724.2</v>
          </cell>
          <cell r="BD238">
            <v>189770.71</v>
          </cell>
          <cell r="BE238">
            <v>189929.92</v>
          </cell>
          <cell r="BF238">
            <v>191681.92000000001</v>
          </cell>
          <cell r="BG238">
            <v>192029.68</v>
          </cell>
          <cell r="BH238">
            <v>176492.47</v>
          </cell>
          <cell r="BI238">
            <v>206927.43</v>
          </cell>
          <cell r="BJ238">
            <v>190050.34</v>
          </cell>
          <cell r="BK238">
            <v>193413.34</v>
          </cell>
          <cell r="BL238">
            <v>197794.25</v>
          </cell>
          <cell r="BM238">
            <v>198024.19</v>
          </cell>
          <cell r="BN238">
            <v>199805.51</v>
          </cell>
          <cell r="BO238">
            <v>209287.97</v>
          </cell>
          <cell r="BP238">
            <v>213854.51</v>
          </cell>
          <cell r="BQ238">
            <v>214060.7</v>
          </cell>
          <cell r="BR238">
            <v>212505.22</v>
          </cell>
          <cell r="BS238">
            <v>208079.5</v>
          </cell>
          <cell r="BT238">
            <v>207477</v>
          </cell>
          <cell r="BU238">
            <v>207477</v>
          </cell>
          <cell r="BV238">
            <v>223186.22</v>
          </cell>
          <cell r="BW238">
            <v>225445.92</v>
          </cell>
          <cell r="BX238">
            <v>227176.11</v>
          </cell>
          <cell r="BY238">
            <v>232401.55</v>
          </cell>
          <cell r="BZ238">
            <v>233955.19</v>
          </cell>
          <cell r="CA238">
            <v>234145.58</v>
          </cell>
          <cell r="CB238">
            <v>233372.48</v>
          </cell>
          <cell r="CC238">
            <v>234886.39999999999</v>
          </cell>
          <cell r="CD238">
            <v>236769.55</v>
          </cell>
          <cell r="CE238">
            <v>240999.25</v>
          </cell>
          <cell r="CF238">
            <v>245333.42</v>
          </cell>
          <cell r="CG238">
            <v>248903.8</v>
          </cell>
          <cell r="CH238">
            <v>248986.57</v>
          </cell>
          <cell r="CI238">
            <v>252306.74</v>
          </cell>
          <cell r="CJ238">
            <v>136639.43</v>
          </cell>
          <cell r="CK238">
            <v>138801.04</v>
          </cell>
          <cell r="CL238">
            <v>141073.32</v>
          </cell>
          <cell r="CM238">
            <v>142702.07999999999</v>
          </cell>
          <cell r="CN238">
            <v>142250.14000000001</v>
          </cell>
          <cell r="CO238">
            <v>142442.78</v>
          </cell>
          <cell r="CP238">
            <v>142694.13</v>
          </cell>
          <cell r="CQ238">
            <v>143826.01999999999</v>
          </cell>
          <cell r="CR238">
            <v>145415.67999999999</v>
          </cell>
          <cell r="CS238">
            <v>145447.49</v>
          </cell>
          <cell r="CT238">
            <v>142863.26</v>
          </cell>
          <cell r="CU238">
            <v>142717.09</v>
          </cell>
          <cell r="CV238">
            <v>144125.07</v>
          </cell>
          <cell r="CW238">
            <v>141784.79</v>
          </cell>
          <cell r="CX238">
            <v>142703.99</v>
          </cell>
          <cell r="CY238">
            <v>144112.24</v>
          </cell>
          <cell r="CZ238">
            <v>144116.6</v>
          </cell>
          <cell r="DA238">
            <v>145352.06</v>
          </cell>
          <cell r="DB238">
            <v>147849.89000000001</v>
          </cell>
          <cell r="DC238">
            <v>148648.04999999999</v>
          </cell>
          <cell r="DD238">
            <v>152805.35</v>
          </cell>
          <cell r="DE238">
            <v>157524.31</v>
          </cell>
          <cell r="DF238">
            <v>157936.97</v>
          </cell>
          <cell r="DG238">
            <v>162956.41</v>
          </cell>
          <cell r="DH238">
            <v>1789915.73</v>
          </cell>
        </row>
        <row r="239">
          <cell r="A239" t="str">
            <v>6508999</v>
          </cell>
          <cell r="B239" t="str">
            <v>6508999</v>
          </cell>
          <cell r="C239" t="str">
            <v>Transprt Exp Reclass</v>
          </cell>
          <cell r="D239">
            <v>1314.52</v>
          </cell>
          <cell r="E239">
            <v>0</v>
          </cell>
          <cell r="F239">
            <v>0</v>
          </cell>
          <cell r="G239">
            <v>0</v>
          </cell>
          <cell r="H239">
            <v>0</v>
          </cell>
          <cell r="I239">
            <v>0</v>
          </cell>
          <cell r="J239">
            <v>0</v>
          </cell>
          <cell r="K239">
            <v>0</v>
          </cell>
          <cell r="L239">
            <v>0</v>
          </cell>
          <cell r="M239">
            <v>0</v>
          </cell>
          <cell r="N239">
            <v>2033.57</v>
          </cell>
          <cell r="O239">
            <v>164.9</v>
          </cell>
          <cell r="P239">
            <v>0</v>
          </cell>
          <cell r="Q239">
            <v>0</v>
          </cell>
          <cell r="R239">
            <v>0</v>
          </cell>
          <cell r="S239">
            <v>0</v>
          </cell>
          <cell r="T239">
            <v>647</v>
          </cell>
          <cell r="U239">
            <v>180.81</v>
          </cell>
          <cell r="V239">
            <v>135.59</v>
          </cell>
          <cell r="W239">
            <v>176.43</v>
          </cell>
          <cell r="X239">
            <v>201</v>
          </cell>
          <cell r="Y239">
            <v>124.29</v>
          </cell>
          <cell r="Z239">
            <v>549.87</v>
          </cell>
          <cell r="AA239">
            <v>326.7</v>
          </cell>
          <cell r="AB239">
            <v>257.38</v>
          </cell>
          <cell r="AC239">
            <v>246.11</v>
          </cell>
          <cell r="AD239">
            <v>136.61000000000001</v>
          </cell>
          <cell r="AE239">
            <v>161.88999999999999</v>
          </cell>
          <cell r="AF239">
            <v>0</v>
          </cell>
          <cell r="AG239">
            <v>547.36</v>
          </cell>
          <cell r="AH239">
            <v>489.15</v>
          </cell>
          <cell r="AI239">
            <v>332.2</v>
          </cell>
          <cell r="AJ239">
            <v>598.54999999999995</v>
          </cell>
          <cell r="AK239">
            <v>335.01</v>
          </cell>
          <cell r="AL239">
            <v>759.58</v>
          </cell>
          <cell r="AM239">
            <v>-2028.53</v>
          </cell>
          <cell r="AN239">
            <v>733.42</v>
          </cell>
          <cell r="AO239">
            <v>0.06</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7</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-2077.02</v>
          </cell>
          <cell r="CL239">
            <v>1977.54</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-221.26</v>
          </cell>
          <cell r="DF239">
            <v>221.26</v>
          </cell>
          <cell r="DG239">
            <v>0</v>
          </cell>
          <cell r="DH239">
            <v>0</v>
          </cell>
        </row>
        <row r="240">
          <cell r="A240" t="str">
            <v>6509000</v>
          </cell>
          <cell r="B240" t="str">
            <v>6509000</v>
          </cell>
          <cell r="C240" t="str">
            <v>Transport to BalSht</v>
          </cell>
          <cell r="D240">
            <v>19396.150000000001</v>
          </cell>
          <cell r="E240">
            <v>0</v>
          </cell>
          <cell r="F240">
            <v>-2473.4299999999998</v>
          </cell>
          <cell r="G240">
            <v>0</v>
          </cell>
          <cell r="H240">
            <v>0</v>
          </cell>
          <cell r="I240">
            <v>-306.83999999999997</v>
          </cell>
          <cell r="J240">
            <v>3018.5</v>
          </cell>
          <cell r="K240">
            <v>-10171.290000000001</v>
          </cell>
          <cell r="L240">
            <v>-224010.14</v>
          </cell>
          <cell r="M240">
            <v>-320682.71999999997</v>
          </cell>
          <cell r="N240">
            <v>439.86</v>
          </cell>
          <cell r="O240">
            <v>-164.9</v>
          </cell>
          <cell r="P240">
            <v>0</v>
          </cell>
          <cell r="Q240">
            <v>-5</v>
          </cell>
          <cell r="R240">
            <v>-40</v>
          </cell>
          <cell r="S240">
            <v>0</v>
          </cell>
          <cell r="T240">
            <v>-647</v>
          </cell>
          <cell r="U240">
            <v>-180.81</v>
          </cell>
          <cell r="V240">
            <v>1458.41</v>
          </cell>
          <cell r="W240">
            <v>324.54000000000002</v>
          </cell>
          <cell r="X240">
            <v>-485.39</v>
          </cell>
          <cell r="Y240">
            <v>-104.05</v>
          </cell>
          <cell r="Z240">
            <v>-3.94</v>
          </cell>
          <cell r="AA240">
            <v>-729.67</v>
          </cell>
          <cell r="AB240">
            <v>-182.57</v>
          </cell>
          <cell r="AC240">
            <v>-46.41</v>
          </cell>
          <cell r="AD240">
            <v>-12530.67</v>
          </cell>
          <cell r="AE240">
            <v>-763.65</v>
          </cell>
          <cell r="AF240">
            <v>-443.6</v>
          </cell>
          <cell r="AG240">
            <v>5263.11</v>
          </cell>
          <cell r="AH240">
            <v>-361.82</v>
          </cell>
          <cell r="AI240">
            <v>-176.88</v>
          </cell>
          <cell r="AJ240">
            <v>-6053.75</v>
          </cell>
          <cell r="AK240">
            <v>-72579.649999999994</v>
          </cell>
          <cell r="AL240">
            <v>-15759.57</v>
          </cell>
          <cell r="AM240">
            <v>370.2</v>
          </cell>
          <cell r="AN240">
            <v>-495.29</v>
          </cell>
          <cell r="AO240">
            <v>-50</v>
          </cell>
          <cell r="AP240">
            <v>-26834.27</v>
          </cell>
          <cell r="AQ240">
            <v>47.3</v>
          </cell>
          <cell r="AR240">
            <v>0</v>
          </cell>
          <cell r="AS240">
            <v>-200</v>
          </cell>
          <cell r="AT240">
            <v>-200</v>
          </cell>
          <cell r="AU240">
            <v>-1263.92</v>
          </cell>
          <cell r="AV240">
            <v>-6067.7</v>
          </cell>
          <cell r="AW240">
            <v>4238.05</v>
          </cell>
          <cell r="AX240">
            <v>-6062.73</v>
          </cell>
          <cell r="AY240">
            <v>-4758.84</v>
          </cell>
          <cell r="AZ240">
            <v>0</v>
          </cell>
          <cell r="BA240">
            <v>-1956.95</v>
          </cell>
          <cell r="BB240">
            <v>-2735.05</v>
          </cell>
          <cell r="BC240">
            <v>-4483.76</v>
          </cell>
          <cell r="BD240">
            <v>-23363.08</v>
          </cell>
          <cell r="BE240">
            <v>-13213.91</v>
          </cell>
          <cell r="BF240">
            <v>-1490.04</v>
          </cell>
          <cell r="BG240">
            <v>-6440.9</v>
          </cell>
          <cell r="BH240">
            <v>-2301.2399999999998</v>
          </cell>
          <cell r="BI240">
            <v>-1618.12</v>
          </cell>
          <cell r="BJ240">
            <v>-6022.69</v>
          </cell>
          <cell r="BK240">
            <v>-3929.4</v>
          </cell>
          <cell r="BL240">
            <v>0</v>
          </cell>
          <cell r="BM240">
            <v>0</v>
          </cell>
          <cell r="BN240">
            <v>-358.93</v>
          </cell>
          <cell r="BO240">
            <v>-163</v>
          </cell>
          <cell r="BP240">
            <v>-763</v>
          </cell>
          <cell r="BQ240">
            <v>-50</v>
          </cell>
          <cell r="BR240">
            <v>-2583.6799999999998</v>
          </cell>
          <cell r="BS240">
            <v>-1720.46</v>
          </cell>
          <cell r="BT240">
            <v>-377.5</v>
          </cell>
          <cell r="BU240">
            <v>-682.48</v>
          </cell>
          <cell r="BV240">
            <v>-4510.68</v>
          </cell>
          <cell r="BW240">
            <v>-1998.59</v>
          </cell>
          <cell r="BX240">
            <v>0</v>
          </cell>
          <cell r="BY240">
            <v>-5659.21</v>
          </cell>
          <cell r="BZ240">
            <v>0</v>
          </cell>
          <cell r="CA240">
            <v>0</v>
          </cell>
          <cell r="CB240">
            <v>-1</v>
          </cell>
          <cell r="CC240">
            <v>10000</v>
          </cell>
          <cell r="CD240">
            <v>-5685.29</v>
          </cell>
          <cell r="CE240">
            <v>-1730.5</v>
          </cell>
          <cell r="CF240">
            <v>-13237.47</v>
          </cell>
          <cell r="CG240">
            <v>-548</v>
          </cell>
          <cell r="CH240">
            <v>-2466.25</v>
          </cell>
          <cell r="CI240">
            <v>-2581.81</v>
          </cell>
          <cell r="CJ240">
            <v>-285.75</v>
          </cell>
          <cell r="CK240">
            <v>-40</v>
          </cell>
          <cell r="CL240">
            <v>-4106.55</v>
          </cell>
          <cell r="CM240">
            <v>-1698.57</v>
          </cell>
          <cell r="CN240">
            <v>-154.88999999999999</v>
          </cell>
          <cell r="CO240">
            <v>-386.86</v>
          </cell>
          <cell r="CP240">
            <v>-270.12</v>
          </cell>
          <cell r="CQ240">
            <v>-536.65</v>
          </cell>
          <cell r="CR240">
            <v>-12</v>
          </cell>
          <cell r="CS240">
            <v>-306.26</v>
          </cell>
          <cell r="CT240">
            <v>-40.549999999999997</v>
          </cell>
          <cell r="CU240">
            <v>-1496.26</v>
          </cell>
          <cell r="CV240">
            <v>-1291.5999999999999</v>
          </cell>
          <cell r="CW240">
            <v>-1300.5899999999999</v>
          </cell>
          <cell r="CX240">
            <v>-1325.31</v>
          </cell>
          <cell r="CY240">
            <v>-7642.07</v>
          </cell>
          <cell r="CZ240">
            <v>0</v>
          </cell>
          <cell r="DA240">
            <v>-1040.58</v>
          </cell>
          <cell r="DB240">
            <v>-1458.99</v>
          </cell>
          <cell r="DC240">
            <v>-393.85</v>
          </cell>
          <cell r="DD240">
            <v>-5292.45</v>
          </cell>
          <cell r="DE240">
            <v>-11671.95</v>
          </cell>
          <cell r="DF240">
            <v>-9609.5300000000007</v>
          </cell>
          <cell r="DG240">
            <v>-1831.94</v>
          </cell>
          <cell r="DH240">
            <v>-42858.86</v>
          </cell>
        </row>
        <row r="241">
          <cell r="A241" t="str">
            <v>6700400</v>
          </cell>
          <cell r="B241" t="str">
            <v>6700400</v>
          </cell>
          <cell r="C241" t="str">
            <v>Ins-FPSC Storm Rsv</v>
          </cell>
          <cell r="D241">
            <v>4791.67</v>
          </cell>
          <cell r="E241">
            <v>4791.67</v>
          </cell>
          <cell r="F241">
            <v>4791.67</v>
          </cell>
          <cell r="G241">
            <v>4791.67</v>
          </cell>
          <cell r="H241">
            <v>4791.67</v>
          </cell>
          <cell r="I241">
            <v>4791.67</v>
          </cell>
          <cell r="J241">
            <v>4791.67</v>
          </cell>
          <cell r="K241">
            <v>4791.67</v>
          </cell>
          <cell r="L241">
            <v>4791.67</v>
          </cell>
          <cell r="M241">
            <v>4791.67</v>
          </cell>
          <cell r="N241">
            <v>4791.67</v>
          </cell>
          <cell r="O241">
            <v>4791.67</v>
          </cell>
          <cell r="P241">
            <v>4791.67</v>
          </cell>
          <cell r="Q241">
            <v>4791.67</v>
          </cell>
          <cell r="R241">
            <v>4791.67</v>
          </cell>
          <cell r="S241">
            <v>4791.67</v>
          </cell>
          <cell r="T241">
            <v>4791.67</v>
          </cell>
          <cell r="U241">
            <v>4791.67</v>
          </cell>
          <cell r="V241">
            <v>4791.67</v>
          </cell>
          <cell r="W241">
            <v>4791.67</v>
          </cell>
          <cell r="X241">
            <v>4791.67</v>
          </cell>
          <cell r="Y241">
            <v>4791.67</v>
          </cell>
          <cell r="Z241">
            <v>4791.67</v>
          </cell>
          <cell r="AA241">
            <v>4791.67</v>
          </cell>
          <cell r="AB241">
            <v>4791.67</v>
          </cell>
          <cell r="AC241">
            <v>4791.67</v>
          </cell>
          <cell r="AD241">
            <v>4791.67</v>
          </cell>
          <cell r="AE241">
            <v>4791.67</v>
          </cell>
          <cell r="AF241">
            <v>4791.67</v>
          </cell>
          <cell r="AG241">
            <v>4791.67</v>
          </cell>
          <cell r="AH241">
            <v>4791.67</v>
          </cell>
          <cell r="AI241">
            <v>4791.67</v>
          </cell>
          <cell r="AJ241">
            <v>4791.67</v>
          </cell>
          <cell r="AK241">
            <v>4791.67</v>
          </cell>
          <cell r="AL241">
            <v>4791.67</v>
          </cell>
          <cell r="AM241">
            <v>4791.67</v>
          </cell>
          <cell r="AN241">
            <v>4791.67</v>
          </cell>
          <cell r="AO241">
            <v>4791.67</v>
          </cell>
          <cell r="AP241">
            <v>4791.67</v>
          </cell>
          <cell r="AQ241">
            <v>4791.67</v>
          </cell>
          <cell r="AR241">
            <v>4791.67</v>
          </cell>
          <cell r="AS241">
            <v>4791.67</v>
          </cell>
          <cell r="AT241">
            <v>4791.67</v>
          </cell>
          <cell r="AU241">
            <v>4791.67</v>
          </cell>
          <cell r="AV241">
            <v>4791.67</v>
          </cell>
          <cell r="AW241">
            <v>4791.67</v>
          </cell>
          <cell r="AX241">
            <v>4791.67</v>
          </cell>
          <cell r="AY241">
            <v>4791.67</v>
          </cell>
          <cell r="AZ241">
            <v>4791.67</v>
          </cell>
          <cell r="BA241">
            <v>4791.67</v>
          </cell>
          <cell r="BB241">
            <v>4791.67</v>
          </cell>
          <cell r="BC241">
            <v>4791.67</v>
          </cell>
          <cell r="BD241">
            <v>4791.67</v>
          </cell>
          <cell r="BE241">
            <v>4791.67</v>
          </cell>
          <cell r="BF241">
            <v>4791.67</v>
          </cell>
          <cell r="BG241">
            <v>4791.67</v>
          </cell>
          <cell r="BH241">
            <v>4791.67</v>
          </cell>
          <cell r="BI241">
            <v>4791.67</v>
          </cell>
          <cell r="BJ241">
            <v>4791.67</v>
          </cell>
          <cell r="BK241">
            <v>4791.67</v>
          </cell>
          <cell r="BL241">
            <v>4791.67</v>
          </cell>
          <cell r="BM241">
            <v>4791.67</v>
          </cell>
          <cell r="BN241">
            <v>4791.67</v>
          </cell>
          <cell r="BO241">
            <v>4791.67</v>
          </cell>
          <cell r="BP241">
            <v>4791.67</v>
          </cell>
          <cell r="BQ241">
            <v>4791.67</v>
          </cell>
          <cell r="BR241">
            <v>4791.67</v>
          </cell>
          <cell r="BS241">
            <v>579712.71</v>
          </cell>
          <cell r="BT241">
            <v>610759.89</v>
          </cell>
          <cell r="BU241">
            <v>608844.72</v>
          </cell>
          <cell r="BV241">
            <v>688731.05</v>
          </cell>
          <cell r="BW241">
            <v>957540.55</v>
          </cell>
          <cell r="BX241">
            <v>4791.67</v>
          </cell>
          <cell r="BY241">
            <v>4791.67</v>
          </cell>
          <cell r="BZ241">
            <v>4791.67</v>
          </cell>
          <cell r="CA241">
            <v>4791.67</v>
          </cell>
          <cell r="CB241">
            <v>4791.67</v>
          </cell>
          <cell r="CC241">
            <v>4791.67</v>
          </cell>
          <cell r="CD241">
            <v>4791.67</v>
          </cell>
          <cell r="CE241">
            <v>4791.67</v>
          </cell>
          <cell r="CF241">
            <v>4791.67</v>
          </cell>
          <cell r="CG241">
            <v>4791.67</v>
          </cell>
          <cell r="CH241">
            <v>4791.67</v>
          </cell>
          <cell r="CI241">
            <v>4791.67</v>
          </cell>
          <cell r="CJ241">
            <v>31666.67</v>
          </cell>
          <cell r="CK241">
            <v>31666.67</v>
          </cell>
          <cell r="CL241">
            <v>31666.67</v>
          </cell>
          <cell r="CM241">
            <v>31666.67</v>
          </cell>
          <cell r="CN241">
            <v>31666.67</v>
          </cell>
          <cell r="CO241">
            <v>31666.67</v>
          </cell>
          <cell r="CP241">
            <v>31666.67</v>
          </cell>
          <cell r="CQ241">
            <v>31666.67</v>
          </cell>
          <cell r="CR241">
            <v>31666.67</v>
          </cell>
          <cell r="CS241">
            <v>31666.67</v>
          </cell>
          <cell r="CT241">
            <v>31666.67</v>
          </cell>
          <cell r="CU241">
            <v>31666.67</v>
          </cell>
          <cell r="CV241">
            <v>31666.67</v>
          </cell>
          <cell r="CW241">
            <v>31666.67</v>
          </cell>
          <cell r="CX241">
            <v>31666.67</v>
          </cell>
          <cell r="CY241">
            <v>31666.67</v>
          </cell>
          <cell r="CZ241">
            <v>31666.67</v>
          </cell>
          <cell r="DA241">
            <v>31666.67</v>
          </cell>
          <cell r="DB241">
            <v>31666.67</v>
          </cell>
          <cell r="DC241">
            <v>31666.67</v>
          </cell>
          <cell r="DD241">
            <v>31666.67</v>
          </cell>
          <cell r="DE241">
            <v>31666.67</v>
          </cell>
          <cell r="DF241">
            <v>31666.67</v>
          </cell>
          <cell r="DG241">
            <v>31666.67</v>
          </cell>
          <cell r="DH241">
            <v>380000.03999999986</v>
          </cell>
        </row>
        <row r="242">
          <cell r="A242" t="str">
            <v>6700500</v>
          </cell>
          <cell r="B242" t="str">
            <v>6700500</v>
          </cell>
          <cell r="C242" t="str">
            <v>Ins-Automobile</v>
          </cell>
          <cell r="D242">
            <v>0</v>
          </cell>
          <cell r="E242">
            <v>0</v>
          </cell>
          <cell r="F242">
            <v>-0.06</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row>
        <row r="243">
          <cell r="A243" t="str">
            <v>6700502</v>
          </cell>
          <cell r="B243" t="str">
            <v>6700502</v>
          </cell>
          <cell r="C243" t="str">
            <v>Ins-Brokerage Fees</v>
          </cell>
          <cell r="D243">
            <v>0</v>
          </cell>
          <cell r="E243">
            <v>0</v>
          </cell>
          <cell r="F243">
            <v>0.04</v>
          </cell>
          <cell r="G243">
            <v>0</v>
          </cell>
          <cell r="H243">
            <v>26000</v>
          </cell>
          <cell r="I243">
            <v>0</v>
          </cell>
          <cell r="J243">
            <v>0</v>
          </cell>
          <cell r="K243">
            <v>-22700</v>
          </cell>
          <cell r="L243">
            <v>19720</v>
          </cell>
          <cell r="M243">
            <v>0</v>
          </cell>
          <cell r="N243">
            <v>0</v>
          </cell>
          <cell r="O243">
            <v>0</v>
          </cell>
          <cell r="P243">
            <v>0</v>
          </cell>
          <cell r="Q243">
            <v>0</v>
          </cell>
          <cell r="R243">
            <v>0</v>
          </cell>
          <cell r="S243">
            <v>0</v>
          </cell>
          <cell r="T243">
            <v>2500</v>
          </cell>
          <cell r="U243">
            <v>0</v>
          </cell>
          <cell r="V243">
            <v>0</v>
          </cell>
          <cell r="W243">
            <v>16870</v>
          </cell>
          <cell r="X243">
            <v>0</v>
          </cell>
          <cell r="Y243">
            <v>0</v>
          </cell>
          <cell r="Z243">
            <v>0</v>
          </cell>
          <cell r="AA243">
            <v>0</v>
          </cell>
          <cell r="AB243">
            <v>0</v>
          </cell>
          <cell r="AC243">
            <v>0</v>
          </cell>
          <cell r="AD243">
            <v>0</v>
          </cell>
          <cell r="AE243">
            <v>0</v>
          </cell>
          <cell r="AF243">
            <v>2450</v>
          </cell>
          <cell r="AG243">
            <v>17771.53</v>
          </cell>
          <cell r="AH243">
            <v>-4080.46</v>
          </cell>
          <cell r="AI243">
            <v>0</v>
          </cell>
          <cell r="AJ243">
            <v>0</v>
          </cell>
          <cell r="AK243">
            <v>0</v>
          </cell>
          <cell r="AL243">
            <v>0</v>
          </cell>
          <cell r="AM243">
            <v>12416.21</v>
          </cell>
          <cell r="AN243">
            <v>0</v>
          </cell>
          <cell r="AO243">
            <v>0</v>
          </cell>
          <cell r="AP243">
            <v>2164.0100000000002</v>
          </cell>
          <cell r="AQ243">
            <v>0</v>
          </cell>
          <cell r="AR243">
            <v>0</v>
          </cell>
          <cell r="AS243">
            <v>0</v>
          </cell>
          <cell r="AT243">
            <v>0</v>
          </cell>
          <cell r="AU243">
            <v>0</v>
          </cell>
          <cell r="AV243">
            <v>0</v>
          </cell>
          <cell r="AW243">
            <v>0</v>
          </cell>
          <cell r="AX243">
            <v>0</v>
          </cell>
          <cell r="AY243">
            <v>42500</v>
          </cell>
          <cell r="AZ243">
            <v>-19833.47</v>
          </cell>
          <cell r="BA243">
            <v>23132.639999999999</v>
          </cell>
          <cell r="BB243">
            <v>650</v>
          </cell>
          <cell r="BC243">
            <v>0</v>
          </cell>
          <cell r="BD243">
            <v>0</v>
          </cell>
          <cell r="BE243">
            <v>0</v>
          </cell>
          <cell r="BF243">
            <v>0</v>
          </cell>
          <cell r="BG243">
            <v>0</v>
          </cell>
          <cell r="BH243">
            <v>0</v>
          </cell>
          <cell r="BI243">
            <v>0</v>
          </cell>
          <cell r="BJ243">
            <v>0</v>
          </cell>
          <cell r="BK243">
            <v>45500</v>
          </cell>
          <cell r="BL243">
            <v>0</v>
          </cell>
          <cell r="BM243">
            <v>0</v>
          </cell>
          <cell r="BN243">
            <v>0</v>
          </cell>
          <cell r="BO243">
            <v>-8688.82</v>
          </cell>
          <cell r="BP243">
            <v>650</v>
          </cell>
          <cell r="BQ243">
            <v>0</v>
          </cell>
          <cell r="BR243">
            <v>0</v>
          </cell>
          <cell r="BS243">
            <v>0</v>
          </cell>
          <cell r="BT243">
            <v>0</v>
          </cell>
          <cell r="BU243">
            <v>0</v>
          </cell>
          <cell r="BV243">
            <v>0</v>
          </cell>
          <cell r="BW243">
            <v>65500</v>
          </cell>
          <cell r="BX243">
            <v>-5807.18</v>
          </cell>
          <cell r="BY243">
            <v>650</v>
          </cell>
          <cell r="BZ243">
            <v>0</v>
          </cell>
          <cell r="CA243">
            <v>0</v>
          </cell>
          <cell r="CB243">
            <v>125</v>
          </cell>
          <cell r="CC243">
            <v>0</v>
          </cell>
          <cell r="CD243">
            <v>0</v>
          </cell>
          <cell r="CE243">
            <v>0</v>
          </cell>
          <cell r="CF243">
            <v>0</v>
          </cell>
          <cell r="CG243">
            <v>0</v>
          </cell>
          <cell r="CH243">
            <v>0</v>
          </cell>
          <cell r="CI243">
            <v>82000</v>
          </cell>
          <cell r="CJ243">
            <v>-28429.58</v>
          </cell>
          <cell r="CK243">
            <v>0</v>
          </cell>
          <cell r="CL243">
            <v>800</v>
          </cell>
          <cell r="CM243">
            <v>0</v>
          </cell>
          <cell r="CN243">
            <v>0</v>
          </cell>
          <cell r="CO243">
            <v>0</v>
          </cell>
          <cell r="CP243">
            <v>800</v>
          </cell>
          <cell r="CQ243">
            <v>0</v>
          </cell>
          <cell r="CR243">
            <v>0</v>
          </cell>
          <cell r="CS243">
            <v>0</v>
          </cell>
          <cell r="CT243">
            <v>0</v>
          </cell>
          <cell r="CU243">
            <v>59500</v>
          </cell>
          <cell r="CV243">
            <v>-1771.86</v>
          </cell>
          <cell r="CW243">
            <v>0</v>
          </cell>
          <cell r="CX243">
            <v>0</v>
          </cell>
          <cell r="CY243">
            <v>-111</v>
          </cell>
          <cell r="CZ243">
            <v>0</v>
          </cell>
          <cell r="DA243">
            <v>0</v>
          </cell>
          <cell r="DB243">
            <v>-2600</v>
          </cell>
          <cell r="DC243">
            <v>889</v>
          </cell>
          <cell r="DD243">
            <v>0</v>
          </cell>
          <cell r="DE243">
            <v>0</v>
          </cell>
          <cell r="DF243">
            <v>0</v>
          </cell>
          <cell r="DG243">
            <v>119000</v>
          </cell>
          <cell r="DH243">
            <v>115406.14</v>
          </cell>
        </row>
        <row r="244">
          <cell r="A244" t="str">
            <v>6700503</v>
          </cell>
          <cell r="B244" t="str">
            <v>6700503</v>
          </cell>
          <cell r="C244" t="str">
            <v>Ins-Crime &amp; Fidelity</v>
          </cell>
          <cell r="D244">
            <v>378.63</v>
          </cell>
          <cell r="E244">
            <v>378.63</v>
          </cell>
          <cell r="F244">
            <v>378.63</v>
          </cell>
          <cell r="G244">
            <v>378.63</v>
          </cell>
          <cell r="H244">
            <v>378.63</v>
          </cell>
          <cell r="I244">
            <v>378.63</v>
          </cell>
          <cell r="J244">
            <v>401.34</v>
          </cell>
          <cell r="K244">
            <v>401.34</v>
          </cell>
          <cell r="L244">
            <v>401.34</v>
          </cell>
          <cell r="M244">
            <v>401.34</v>
          </cell>
          <cell r="N244">
            <v>401.34</v>
          </cell>
          <cell r="O244">
            <v>401.34</v>
          </cell>
          <cell r="P244">
            <v>401.34</v>
          </cell>
          <cell r="Q244">
            <v>401.34</v>
          </cell>
          <cell r="R244">
            <v>401.34</v>
          </cell>
          <cell r="S244">
            <v>401.34</v>
          </cell>
          <cell r="T244">
            <v>401.34</v>
          </cell>
          <cell r="U244">
            <v>792.75</v>
          </cell>
          <cell r="V244">
            <v>391.46</v>
          </cell>
          <cell r="W244">
            <v>391.46</v>
          </cell>
          <cell r="X244">
            <v>391.46</v>
          </cell>
          <cell r="Y244">
            <v>391.46</v>
          </cell>
          <cell r="Z244">
            <v>391.46</v>
          </cell>
          <cell r="AA244">
            <v>391.46</v>
          </cell>
          <cell r="AB244">
            <v>391.46</v>
          </cell>
          <cell r="AC244">
            <v>391.46</v>
          </cell>
          <cell r="AD244">
            <v>391.46</v>
          </cell>
          <cell r="AE244">
            <v>391.46</v>
          </cell>
          <cell r="AF244">
            <v>391.48</v>
          </cell>
          <cell r="AG244">
            <v>388.95</v>
          </cell>
          <cell r="AH244">
            <v>582.36</v>
          </cell>
          <cell r="AI244">
            <v>193.41</v>
          </cell>
          <cell r="AJ244">
            <v>971.29</v>
          </cell>
          <cell r="AK244">
            <v>193.41</v>
          </cell>
          <cell r="AL244">
            <v>193.41</v>
          </cell>
          <cell r="AM244">
            <v>193.39</v>
          </cell>
          <cell r="AN244">
            <v>0</v>
          </cell>
          <cell r="AO244">
            <v>0</v>
          </cell>
          <cell r="AP244">
            <v>1384.28</v>
          </cell>
          <cell r="AQ244">
            <v>461.45</v>
          </cell>
          <cell r="AR244">
            <v>461.45</v>
          </cell>
          <cell r="AS244">
            <v>461.45</v>
          </cell>
          <cell r="AT244">
            <v>461.45</v>
          </cell>
          <cell r="AU244">
            <v>461.45</v>
          </cell>
          <cell r="AV244">
            <v>461.45</v>
          </cell>
          <cell r="AW244">
            <v>461.45</v>
          </cell>
          <cell r="AX244">
            <v>461.45</v>
          </cell>
          <cell r="AY244">
            <v>461.45</v>
          </cell>
          <cell r="AZ244">
            <v>450</v>
          </cell>
          <cell r="BA244">
            <v>450</v>
          </cell>
          <cell r="BB244">
            <v>1223.8499999999999</v>
          </cell>
          <cell r="BC244">
            <v>707.95</v>
          </cell>
          <cell r="BD244">
            <v>707.95</v>
          </cell>
          <cell r="BE244">
            <v>707.95</v>
          </cell>
          <cell r="BF244">
            <v>707.95</v>
          </cell>
          <cell r="BG244">
            <v>707.95</v>
          </cell>
          <cell r="BH244">
            <v>707.95</v>
          </cell>
          <cell r="BI244">
            <v>707.95</v>
          </cell>
          <cell r="BJ244">
            <v>707.95</v>
          </cell>
          <cell r="BK244">
            <v>707.95</v>
          </cell>
          <cell r="BL244">
            <v>679.01</v>
          </cell>
          <cell r="BM244">
            <v>678.98</v>
          </cell>
          <cell r="BN244">
            <v>678.98</v>
          </cell>
          <cell r="BO244">
            <v>678.98</v>
          </cell>
          <cell r="BP244">
            <v>678.98</v>
          </cell>
          <cell r="BQ244">
            <v>678.98</v>
          </cell>
          <cell r="BR244">
            <v>678.98</v>
          </cell>
          <cell r="BS244">
            <v>678.98</v>
          </cell>
          <cell r="BT244">
            <v>678.98</v>
          </cell>
          <cell r="BU244">
            <v>678.98</v>
          </cell>
          <cell r="BV244">
            <v>678.98</v>
          </cell>
          <cell r="BW244">
            <v>678.98</v>
          </cell>
          <cell r="BX244">
            <v>327.78</v>
          </cell>
          <cell r="BY244">
            <v>583.63</v>
          </cell>
          <cell r="BZ244">
            <v>455.69</v>
          </cell>
          <cell r="CA244">
            <v>455.69</v>
          </cell>
          <cell r="CB244">
            <v>455.69</v>
          </cell>
          <cell r="CC244">
            <v>455.69</v>
          </cell>
          <cell r="CD244">
            <v>455.69</v>
          </cell>
          <cell r="CE244">
            <v>455.69</v>
          </cell>
          <cell r="CF244">
            <v>455.69</v>
          </cell>
          <cell r="CG244">
            <v>455.69</v>
          </cell>
          <cell r="CH244">
            <v>455.69</v>
          </cell>
          <cell r="CI244">
            <v>455.69</v>
          </cell>
          <cell r="CJ244">
            <v>567.25</v>
          </cell>
          <cell r="CK244">
            <v>567.23</v>
          </cell>
          <cell r="CL244">
            <v>567.23</v>
          </cell>
          <cell r="CM244">
            <v>567.23</v>
          </cell>
          <cell r="CN244">
            <v>567.23</v>
          </cell>
          <cell r="CO244">
            <v>567.23</v>
          </cell>
          <cell r="CP244">
            <v>567.23</v>
          </cell>
          <cell r="CQ244">
            <v>567.23</v>
          </cell>
          <cell r="CR244">
            <v>567.23</v>
          </cell>
          <cell r="CS244">
            <v>567.23</v>
          </cell>
          <cell r="CT244">
            <v>567.23</v>
          </cell>
          <cell r="CU244">
            <v>567.23</v>
          </cell>
          <cell r="CV244">
            <v>700</v>
          </cell>
          <cell r="CW244">
            <v>844.5</v>
          </cell>
          <cell r="CX244">
            <v>772.23</v>
          </cell>
          <cell r="CY244">
            <v>772.23</v>
          </cell>
          <cell r="CZ244">
            <v>772.23</v>
          </cell>
          <cell r="DA244">
            <v>772.23</v>
          </cell>
          <cell r="DB244">
            <v>772.23</v>
          </cell>
          <cell r="DC244">
            <v>772.23</v>
          </cell>
          <cell r="DD244">
            <v>772.23</v>
          </cell>
          <cell r="DE244">
            <v>772.23</v>
          </cell>
          <cell r="DF244">
            <v>772.23</v>
          </cell>
          <cell r="DG244">
            <v>772.23</v>
          </cell>
          <cell r="DH244">
            <v>9266.7999999999975</v>
          </cell>
        </row>
        <row r="245">
          <cell r="A245" t="str">
            <v>6700504</v>
          </cell>
          <cell r="B245" t="str">
            <v>6700504</v>
          </cell>
          <cell r="C245" t="str">
            <v>Insurance - Directors &amp; Officers</v>
          </cell>
          <cell r="BX245">
            <v>4002.17</v>
          </cell>
          <cell r="BY245">
            <v>4002.15</v>
          </cell>
          <cell r="BZ245">
            <v>4002.15</v>
          </cell>
          <cell r="CA245">
            <v>4002.15</v>
          </cell>
          <cell r="CB245">
            <v>4002.15</v>
          </cell>
          <cell r="CC245">
            <v>4002.15</v>
          </cell>
          <cell r="CD245">
            <v>4002.15</v>
          </cell>
          <cell r="CE245">
            <v>4002.15</v>
          </cell>
          <cell r="CF245">
            <v>4002.15</v>
          </cell>
          <cell r="CG245">
            <v>4002.15</v>
          </cell>
          <cell r="CH245">
            <v>4002.15</v>
          </cell>
          <cell r="CI245">
            <v>4002.15</v>
          </cell>
          <cell r="CJ245">
            <v>4725.03</v>
          </cell>
          <cell r="CK245">
            <v>4795.7299999999996</v>
          </cell>
          <cell r="CL245">
            <v>4760.63</v>
          </cell>
          <cell r="CM245">
            <v>4760.63</v>
          </cell>
          <cell r="CN245">
            <v>4760.63</v>
          </cell>
          <cell r="CO245">
            <v>4760.63</v>
          </cell>
          <cell r="CP245">
            <v>4760.63</v>
          </cell>
          <cell r="CQ245">
            <v>4760.63</v>
          </cell>
          <cell r="CR245">
            <v>4760.63</v>
          </cell>
          <cell r="CS245">
            <v>4760.63</v>
          </cell>
          <cell r="CT245">
            <v>4760.63</v>
          </cell>
          <cell r="CU245">
            <v>4760.63</v>
          </cell>
          <cell r="CV245">
            <v>5892.02</v>
          </cell>
          <cell r="CW245">
            <v>5892.02</v>
          </cell>
          <cell r="CX245">
            <v>5892.02</v>
          </cell>
          <cell r="CY245">
            <v>5892.02</v>
          </cell>
          <cell r="CZ245">
            <v>5892.02</v>
          </cell>
          <cell r="DA245">
            <v>5892.02</v>
          </cell>
          <cell r="DB245">
            <v>5892.02</v>
          </cell>
          <cell r="DC245">
            <v>5892.02</v>
          </cell>
          <cell r="DD245">
            <v>5892.02</v>
          </cell>
          <cell r="DE245">
            <v>5892.02</v>
          </cell>
          <cell r="DF245">
            <v>5892.02</v>
          </cell>
          <cell r="DG245">
            <v>5892.02</v>
          </cell>
          <cell r="DH245">
            <v>70704.24000000002</v>
          </cell>
        </row>
        <row r="246">
          <cell r="A246" t="str">
            <v>6700505</v>
          </cell>
          <cell r="B246" t="str">
            <v>6700505</v>
          </cell>
          <cell r="C246" t="str">
            <v>Ins-Errors&amp;Omissions</v>
          </cell>
          <cell r="D246">
            <v>2120.6999999999998</v>
          </cell>
          <cell r="E246">
            <v>2120.6999999999998</v>
          </cell>
          <cell r="F246">
            <v>2120.6999999999998</v>
          </cell>
          <cell r="G246">
            <v>2120.6999999999998</v>
          </cell>
          <cell r="H246">
            <v>2120.6999999999998</v>
          </cell>
          <cell r="I246">
            <v>2120.6999999999998</v>
          </cell>
          <cell r="J246">
            <v>2258.3000000000002</v>
          </cell>
          <cell r="K246">
            <v>2258.3000000000002</v>
          </cell>
          <cell r="L246">
            <v>2258.3000000000002</v>
          </cell>
          <cell r="M246">
            <v>2258.3000000000002</v>
          </cell>
          <cell r="N246">
            <v>2258.3000000000002</v>
          </cell>
          <cell r="O246">
            <v>2258.3000000000002</v>
          </cell>
          <cell r="P246">
            <v>2258.3000000000002</v>
          </cell>
          <cell r="Q246">
            <v>2258.3000000000002</v>
          </cell>
          <cell r="R246">
            <v>2258.3000000000002</v>
          </cell>
          <cell r="S246">
            <v>2258.3000000000002</v>
          </cell>
          <cell r="T246">
            <v>2258.3000000000002</v>
          </cell>
          <cell r="U246">
            <v>2258.2800000000002</v>
          </cell>
          <cell r="V246">
            <v>348.55</v>
          </cell>
          <cell r="W246">
            <v>348.55</v>
          </cell>
          <cell r="X246">
            <v>348.55</v>
          </cell>
          <cell r="Y246">
            <v>348.55</v>
          </cell>
          <cell r="Z246">
            <v>348.55</v>
          </cell>
          <cell r="AA246">
            <v>348.55</v>
          </cell>
          <cell r="AB246">
            <v>348.55</v>
          </cell>
          <cell r="AC246">
            <v>348.55</v>
          </cell>
          <cell r="AD246">
            <v>348.55</v>
          </cell>
          <cell r="AE246">
            <v>348.55</v>
          </cell>
          <cell r="AF246">
            <v>348.55</v>
          </cell>
          <cell r="AG246">
            <v>348.56</v>
          </cell>
          <cell r="AH246">
            <v>223.02</v>
          </cell>
          <cell r="AI246">
            <v>223.02</v>
          </cell>
          <cell r="AJ246">
            <v>223.02</v>
          </cell>
          <cell r="AK246">
            <v>223.02</v>
          </cell>
          <cell r="AL246">
            <v>223.02</v>
          </cell>
          <cell r="AM246">
            <v>223.02</v>
          </cell>
          <cell r="AN246">
            <v>223.02</v>
          </cell>
          <cell r="AO246">
            <v>223.02</v>
          </cell>
          <cell r="AP246">
            <v>223.02</v>
          </cell>
          <cell r="AQ246">
            <v>223.02</v>
          </cell>
          <cell r="AR246">
            <v>223.02</v>
          </cell>
          <cell r="AS246">
            <v>223.02</v>
          </cell>
          <cell r="AT246">
            <v>224.15</v>
          </cell>
          <cell r="AU246">
            <v>224.17</v>
          </cell>
          <cell r="AV246">
            <v>224.17</v>
          </cell>
          <cell r="AW246">
            <v>224.17</v>
          </cell>
          <cell r="AX246">
            <v>224.17</v>
          </cell>
          <cell r="AY246">
            <v>246.67</v>
          </cell>
          <cell r="AZ246">
            <v>246.66</v>
          </cell>
          <cell r="BA246">
            <v>175.44</v>
          </cell>
          <cell r="BB246">
            <v>222.91</v>
          </cell>
          <cell r="BC246">
            <v>222.91</v>
          </cell>
          <cell r="BD246">
            <v>222.91</v>
          </cell>
          <cell r="BE246">
            <v>222.91</v>
          </cell>
          <cell r="BF246">
            <v>222.91</v>
          </cell>
          <cell r="BG246">
            <v>222.91</v>
          </cell>
          <cell r="BH246">
            <v>222.91</v>
          </cell>
          <cell r="BI246">
            <v>222.91</v>
          </cell>
          <cell r="BJ246">
            <v>222.91</v>
          </cell>
          <cell r="BK246">
            <v>200</v>
          </cell>
          <cell r="BL246">
            <v>245.86</v>
          </cell>
          <cell r="BM246">
            <v>222.91</v>
          </cell>
          <cell r="BN246">
            <v>222.91</v>
          </cell>
          <cell r="BO246">
            <v>222.91</v>
          </cell>
          <cell r="BP246">
            <v>222.91</v>
          </cell>
          <cell r="BQ246">
            <v>222.91</v>
          </cell>
          <cell r="BR246">
            <v>222.91</v>
          </cell>
          <cell r="BS246">
            <v>222.91</v>
          </cell>
          <cell r="BT246">
            <v>222.91</v>
          </cell>
          <cell r="BU246">
            <v>222.91</v>
          </cell>
          <cell r="BV246">
            <v>222.91</v>
          </cell>
          <cell r="BW246">
            <v>222.95</v>
          </cell>
          <cell r="BX246">
            <v>222.91</v>
          </cell>
          <cell r="BY246">
            <v>222.91</v>
          </cell>
          <cell r="BZ246">
            <v>222.91</v>
          </cell>
          <cell r="CA246">
            <v>222.91</v>
          </cell>
          <cell r="CB246">
            <v>222.91</v>
          </cell>
          <cell r="CC246">
            <v>222.91</v>
          </cell>
          <cell r="CD246">
            <v>222.91</v>
          </cell>
          <cell r="CE246">
            <v>222.91</v>
          </cell>
          <cell r="CF246">
            <v>222.91</v>
          </cell>
          <cell r="CG246">
            <v>222.91</v>
          </cell>
          <cell r="CH246">
            <v>222.91</v>
          </cell>
          <cell r="CI246">
            <v>280</v>
          </cell>
          <cell r="CJ246">
            <v>210</v>
          </cell>
          <cell r="CK246">
            <v>245</v>
          </cell>
          <cell r="CL246">
            <v>245</v>
          </cell>
          <cell r="CM246">
            <v>257.45</v>
          </cell>
          <cell r="CN246">
            <v>245</v>
          </cell>
          <cell r="CO246">
            <v>245</v>
          </cell>
          <cell r="CP246">
            <v>245</v>
          </cell>
          <cell r="CQ246">
            <v>245</v>
          </cell>
          <cell r="CR246">
            <v>245</v>
          </cell>
          <cell r="CS246">
            <v>245</v>
          </cell>
          <cell r="CT246">
            <v>245</v>
          </cell>
          <cell r="CU246">
            <v>300</v>
          </cell>
          <cell r="CV246">
            <v>214.15</v>
          </cell>
          <cell r="CW246">
            <v>257.08</v>
          </cell>
          <cell r="CX246">
            <v>257.08</v>
          </cell>
          <cell r="CY246">
            <v>257.08</v>
          </cell>
          <cell r="CZ246">
            <v>257.08</v>
          </cell>
          <cell r="DA246">
            <v>257.08</v>
          </cell>
          <cell r="DB246">
            <v>257.08</v>
          </cell>
          <cell r="DC246">
            <v>257.08</v>
          </cell>
          <cell r="DD246">
            <v>257.08</v>
          </cell>
          <cell r="DE246">
            <v>257.08</v>
          </cell>
          <cell r="DF246">
            <v>257.08</v>
          </cell>
          <cell r="DG246">
            <v>257.08</v>
          </cell>
          <cell r="DH246">
            <v>3042.0299999999993</v>
          </cell>
        </row>
        <row r="247">
          <cell r="A247" t="str">
            <v>6700506</v>
          </cell>
          <cell r="B247" t="str">
            <v>6700506</v>
          </cell>
          <cell r="C247" t="str">
            <v>Ins-Excess Auto</v>
          </cell>
          <cell r="D247">
            <v>11540.95</v>
          </cell>
          <cell r="E247">
            <v>11540.95</v>
          </cell>
          <cell r="F247">
            <v>11540.95</v>
          </cell>
          <cell r="G247">
            <v>11540.95</v>
          </cell>
          <cell r="H247">
            <v>11540.95</v>
          </cell>
          <cell r="I247">
            <v>11540.95</v>
          </cell>
          <cell r="J247">
            <v>12607.86</v>
          </cell>
          <cell r="K247">
            <v>12607.86</v>
          </cell>
          <cell r="L247">
            <v>12607.86</v>
          </cell>
          <cell r="M247">
            <v>12607.86</v>
          </cell>
          <cell r="N247">
            <v>12607.86</v>
          </cell>
          <cell r="O247">
            <v>12607.86</v>
          </cell>
          <cell r="P247">
            <v>12607.86</v>
          </cell>
          <cell r="Q247">
            <v>12607.86</v>
          </cell>
          <cell r="R247">
            <v>12607.86</v>
          </cell>
          <cell r="S247">
            <v>12607.86</v>
          </cell>
          <cell r="T247">
            <v>12607.86</v>
          </cell>
          <cell r="U247">
            <v>12607.81</v>
          </cell>
          <cell r="V247">
            <v>8963.99</v>
          </cell>
          <cell r="W247">
            <v>8963.99</v>
          </cell>
          <cell r="X247">
            <v>8963.99</v>
          </cell>
          <cell r="Y247">
            <v>8963.99</v>
          </cell>
          <cell r="Z247">
            <v>8963.99</v>
          </cell>
          <cell r="AA247">
            <v>8963.99</v>
          </cell>
          <cell r="AB247">
            <v>8963.99</v>
          </cell>
          <cell r="AC247">
            <v>9962.81</v>
          </cell>
          <cell r="AD247">
            <v>8963.99</v>
          </cell>
          <cell r="AE247">
            <v>8963.99</v>
          </cell>
          <cell r="AF247">
            <v>8963.99</v>
          </cell>
          <cell r="AG247">
            <v>8964</v>
          </cell>
          <cell r="AH247">
            <v>10196.56</v>
          </cell>
          <cell r="AI247">
            <v>10196.56</v>
          </cell>
          <cell r="AJ247">
            <v>10196.56</v>
          </cell>
          <cell r="AK247">
            <v>10196.56</v>
          </cell>
          <cell r="AL247">
            <v>10196.56</v>
          </cell>
          <cell r="AM247">
            <v>10196.56</v>
          </cell>
          <cell r="AN247">
            <v>10196.56</v>
          </cell>
          <cell r="AO247">
            <v>10196.56</v>
          </cell>
          <cell r="AP247">
            <v>12585.18</v>
          </cell>
          <cell r="AQ247">
            <v>10770.32</v>
          </cell>
          <cell r="AR247">
            <v>10770.32</v>
          </cell>
          <cell r="AS247">
            <v>10770.32</v>
          </cell>
          <cell r="AT247">
            <v>10770.32</v>
          </cell>
          <cell r="AU247">
            <v>10770.32</v>
          </cell>
          <cell r="AV247">
            <v>10770.32</v>
          </cell>
          <cell r="AW247">
            <v>10770.32</v>
          </cell>
          <cell r="AX247">
            <v>10770.32</v>
          </cell>
          <cell r="AY247">
            <v>11857</v>
          </cell>
          <cell r="AZ247">
            <v>21697.58</v>
          </cell>
          <cell r="BA247">
            <v>16777.29</v>
          </cell>
          <cell r="BB247">
            <v>16777.29</v>
          </cell>
          <cell r="BC247">
            <v>16777.29</v>
          </cell>
          <cell r="BD247">
            <v>16777.29</v>
          </cell>
          <cell r="BE247">
            <v>16777.29</v>
          </cell>
          <cell r="BF247">
            <v>16777.29</v>
          </cell>
          <cell r="BG247">
            <v>16777.29</v>
          </cell>
          <cell r="BH247">
            <v>16777.29</v>
          </cell>
          <cell r="BI247">
            <v>16777.29</v>
          </cell>
          <cell r="BJ247">
            <v>16777.29</v>
          </cell>
          <cell r="BK247">
            <v>17000</v>
          </cell>
          <cell r="BL247">
            <v>16978.060000000001</v>
          </cell>
          <cell r="BM247">
            <v>16989.02</v>
          </cell>
          <cell r="BN247">
            <v>16989.02</v>
          </cell>
          <cell r="BO247">
            <v>16989.02</v>
          </cell>
          <cell r="BP247">
            <v>16989.02</v>
          </cell>
          <cell r="BQ247">
            <v>16989.02</v>
          </cell>
          <cell r="BR247">
            <v>16989.02</v>
          </cell>
          <cell r="BS247">
            <v>16989.02</v>
          </cell>
          <cell r="BT247">
            <v>16989.02</v>
          </cell>
          <cell r="BU247">
            <v>16989.02</v>
          </cell>
          <cell r="BV247">
            <v>16989.02</v>
          </cell>
          <cell r="BW247">
            <v>17000</v>
          </cell>
          <cell r="BX247">
            <v>17000</v>
          </cell>
          <cell r="BY247">
            <v>17251.38</v>
          </cell>
          <cell r="BZ247">
            <v>17083.79</v>
          </cell>
          <cell r="CA247">
            <v>17083.79</v>
          </cell>
          <cell r="CB247">
            <v>17083.79</v>
          </cell>
          <cell r="CC247">
            <v>-12267.53</v>
          </cell>
          <cell r="CD247">
            <v>12890.73</v>
          </cell>
          <cell r="CE247">
            <v>12890.73</v>
          </cell>
          <cell r="CF247">
            <v>12890.73</v>
          </cell>
          <cell r="CG247">
            <v>12890.73</v>
          </cell>
          <cell r="CH247">
            <v>12890.73</v>
          </cell>
          <cell r="CI247">
            <v>11701.38</v>
          </cell>
          <cell r="CJ247">
            <v>12799.25</v>
          </cell>
          <cell r="CK247">
            <v>12799.25</v>
          </cell>
          <cell r="CL247">
            <v>12799.25</v>
          </cell>
          <cell r="CM247">
            <v>12799.25</v>
          </cell>
          <cell r="CN247">
            <v>12799.25</v>
          </cell>
          <cell r="CO247">
            <v>6126.84</v>
          </cell>
          <cell r="CP247">
            <v>6126.87</v>
          </cell>
          <cell r="CQ247">
            <v>6126.87</v>
          </cell>
          <cell r="CR247">
            <v>6126.87</v>
          </cell>
          <cell r="CS247">
            <v>6126.87</v>
          </cell>
          <cell r="CT247">
            <v>6126.87</v>
          </cell>
          <cell r="CU247">
            <v>6126.87</v>
          </cell>
          <cell r="CV247">
            <v>6126.87</v>
          </cell>
          <cell r="CW247">
            <v>6126.87</v>
          </cell>
          <cell r="CX247">
            <v>6126.87</v>
          </cell>
          <cell r="CY247">
            <v>6126.87</v>
          </cell>
          <cell r="CZ247">
            <v>6126.87</v>
          </cell>
          <cell r="DA247">
            <v>7700</v>
          </cell>
          <cell r="DB247">
            <v>14413.83</v>
          </cell>
          <cell r="DC247">
            <v>11056.89</v>
          </cell>
          <cell r="DD247">
            <v>11056.89</v>
          </cell>
          <cell r="DE247">
            <v>11056.89</v>
          </cell>
          <cell r="DF247">
            <v>11056.89</v>
          </cell>
          <cell r="DG247">
            <v>11056.89</v>
          </cell>
          <cell r="DH247">
            <v>108032.62999999999</v>
          </cell>
        </row>
        <row r="248">
          <cell r="A248" t="str">
            <v>6700507</v>
          </cell>
          <cell r="B248" t="str">
            <v>6700507</v>
          </cell>
          <cell r="C248" t="str">
            <v>Ins-Excess Gen Liab</v>
          </cell>
          <cell r="D248">
            <v>89093.21</v>
          </cell>
          <cell r="E248">
            <v>89093.21</v>
          </cell>
          <cell r="F248">
            <v>89093.21</v>
          </cell>
          <cell r="G248">
            <v>85232.8</v>
          </cell>
          <cell r="H248">
            <v>85232.8</v>
          </cell>
          <cell r="I248">
            <v>85232.8</v>
          </cell>
          <cell r="J248">
            <v>99227.12</v>
          </cell>
          <cell r="K248">
            <v>86341.47</v>
          </cell>
          <cell r="L248">
            <v>92784.29</v>
          </cell>
          <cell r="M248">
            <v>96677.91</v>
          </cell>
          <cell r="N248">
            <v>93757.7</v>
          </cell>
          <cell r="O248">
            <v>93757.7</v>
          </cell>
          <cell r="P248">
            <v>93757.7</v>
          </cell>
          <cell r="Q248">
            <v>93757.7</v>
          </cell>
          <cell r="R248">
            <v>82476.7</v>
          </cell>
          <cell r="S248">
            <v>93757.7</v>
          </cell>
          <cell r="T248">
            <v>93757.7</v>
          </cell>
          <cell r="U248">
            <v>93757.66</v>
          </cell>
          <cell r="V248">
            <v>102857.26</v>
          </cell>
          <cell r="W248">
            <v>102857.26</v>
          </cell>
          <cell r="X248">
            <v>102857.26</v>
          </cell>
          <cell r="Y248">
            <v>111792.82</v>
          </cell>
          <cell r="Z248">
            <v>102857.26</v>
          </cell>
          <cell r="AA248">
            <v>102857.26</v>
          </cell>
          <cell r="AB248">
            <v>102857.26</v>
          </cell>
          <cell r="AC248">
            <v>102857.26</v>
          </cell>
          <cell r="AD248">
            <v>102857.26</v>
          </cell>
          <cell r="AE248">
            <v>42217.26</v>
          </cell>
          <cell r="AF248">
            <v>102857.26</v>
          </cell>
          <cell r="AG248">
            <v>102857.22</v>
          </cell>
          <cell r="AH248">
            <v>102891.89</v>
          </cell>
          <cell r="AI248">
            <v>102891.89</v>
          </cell>
          <cell r="AJ248">
            <v>102891.89</v>
          </cell>
          <cell r="AK248">
            <v>111803.45</v>
          </cell>
          <cell r="AL248">
            <v>102891.89</v>
          </cell>
          <cell r="AM248">
            <v>102891.89</v>
          </cell>
          <cell r="AN248">
            <v>111399.93</v>
          </cell>
          <cell r="AO248">
            <v>102891.89</v>
          </cell>
          <cell r="AP248">
            <v>116539.58</v>
          </cell>
          <cell r="AQ248">
            <v>104278.56</v>
          </cell>
          <cell r="AR248">
            <v>101514.43</v>
          </cell>
          <cell r="AS248">
            <v>103906.08</v>
          </cell>
          <cell r="AT248">
            <v>103925.44</v>
          </cell>
          <cell r="AU248">
            <v>103925.44</v>
          </cell>
          <cell r="AV248">
            <v>103925.44</v>
          </cell>
          <cell r="AW248">
            <v>104686.92</v>
          </cell>
          <cell r="AX248">
            <v>103925.44</v>
          </cell>
          <cell r="AY248">
            <v>132138.37</v>
          </cell>
          <cell r="AZ248">
            <v>98538.95</v>
          </cell>
          <cell r="BA248">
            <v>114464.52</v>
          </cell>
          <cell r="BB248">
            <v>115361.19</v>
          </cell>
          <cell r="BC248">
            <v>115361.19</v>
          </cell>
          <cell r="BD248">
            <v>119310.41</v>
          </cell>
          <cell r="BE248">
            <v>-40032.6</v>
          </cell>
          <cell r="BF248">
            <v>116019.4</v>
          </cell>
          <cell r="BG248">
            <v>116019.4</v>
          </cell>
          <cell r="BH248">
            <v>116019.4</v>
          </cell>
          <cell r="BI248">
            <v>116019.4</v>
          </cell>
          <cell r="BJ248">
            <v>116019.4</v>
          </cell>
          <cell r="BK248">
            <v>156300</v>
          </cell>
          <cell r="BL248">
            <v>149276.47</v>
          </cell>
          <cell r="BM248">
            <v>127294.1</v>
          </cell>
          <cell r="BN248">
            <v>144388.78</v>
          </cell>
          <cell r="BO248">
            <v>144314.87</v>
          </cell>
          <cell r="BP248">
            <v>-48839.87</v>
          </cell>
          <cell r="BQ248">
            <v>144236.41</v>
          </cell>
          <cell r="BR248">
            <v>144236.41</v>
          </cell>
          <cell r="BS248">
            <v>144236.41</v>
          </cell>
          <cell r="BT248">
            <v>144236.41</v>
          </cell>
          <cell r="BU248">
            <v>144236.41</v>
          </cell>
          <cell r="BV248">
            <v>144236.41</v>
          </cell>
          <cell r="BW248">
            <v>183732.99</v>
          </cell>
          <cell r="BX248">
            <v>-55560.92</v>
          </cell>
          <cell r="BY248">
            <v>237346.96</v>
          </cell>
          <cell r="BZ248">
            <v>222134.02</v>
          </cell>
          <cell r="CA248">
            <v>191171.51</v>
          </cell>
          <cell r="CB248">
            <v>191171.51</v>
          </cell>
          <cell r="CC248">
            <v>111925.15</v>
          </cell>
          <cell r="CD248">
            <v>207876.92</v>
          </cell>
          <cell r="CE248">
            <v>207819.03</v>
          </cell>
          <cell r="CF248">
            <v>207819.03</v>
          </cell>
          <cell r="CG248">
            <v>207819.03</v>
          </cell>
          <cell r="CH248">
            <v>207819.03</v>
          </cell>
          <cell r="CI248">
            <v>253175.74</v>
          </cell>
          <cell r="CJ248">
            <v>244428.74</v>
          </cell>
          <cell r="CK248">
            <v>284780.65000000002</v>
          </cell>
          <cell r="CL248">
            <v>243893.02</v>
          </cell>
          <cell r="CM248">
            <v>242374.02</v>
          </cell>
          <cell r="CN248">
            <v>243893.02</v>
          </cell>
          <cell r="CO248">
            <v>367168.1</v>
          </cell>
          <cell r="CP248">
            <v>367168.13</v>
          </cell>
          <cell r="CQ248">
            <v>367168.13</v>
          </cell>
          <cell r="CR248">
            <v>367168.13</v>
          </cell>
          <cell r="CS248">
            <v>367168.13</v>
          </cell>
          <cell r="CT248">
            <v>367168.13</v>
          </cell>
          <cell r="CU248">
            <v>402662.11</v>
          </cell>
          <cell r="CV248">
            <v>397730.88</v>
          </cell>
          <cell r="CW248">
            <v>400196.52</v>
          </cell>
          <cell r="CX248">
            <v>400196.52</v>
          </cell>
          <cell r="CY248">
            <v>400196.52</v>
          </cell>
          <cell r="CZ248">
            <v>400196.52</v>
          </cell>
          <cell r="DA248">
            <v>469034.41</v>
          </cell>
          <cell r="DB248">
            <v>497509.42</v>
          </cell>
          <cell r="DC248">
            <v>483271.93</v>
          </cell>
          <cell r="DD248">
            <v>483271.93</v>
          </cell>
          <cell r="DE248">
            <v>483271.93</v>
          </cell>
          <cell r="DF248">
            <v>483271.93</v>
          </cell>
          <cell r="DG248">
            <v>483271.93</v>
          </cell>
          <cell r="DH248">
            <v>5381420.4399999995</v>
          </cell>
        </row>
        <row r="249">
          <cell r="A249" t="str">
            <v>6700508</v>
          </cell>
          <cell r="B249" t="str">
            <v>6700508</v>
          </cell>
          <cell r="C249" t="str">
            <v>Insurance - Fiduciary</v>
          </cell>
          <cell r="BX249">
            <v>562.26</v>
          </cell>
          <cell r="BY249">
            <v>562.17999999999995</v>
          </cell>
          <cell r="BZ249">
            <v>562.17999999999995</v>
          </cell>
          <cell r="CA249">
            <v>562.17999999999995</v>
          </cell>
          <cell r="CB249">
            <v>562.17999999999995</v>
          </cell>
          <cell r="CC249">
            <v>562.17999999999995</v>
          </cell>
          <cell r="CD249">
            <v>562.17999999999995</v>
          </cell>
          <cell r="CE249">
            <v>562.17999999999995</v>
          </cell>
          <cell r="CF249">
            <v>562.17999999999995</v>
          </cell>
          <cell r="CG249">
            <v>562.17999999999995</v>
          </cell>
          <cell r="CH249">
            <v>562.17999999999995</v>
          </cell>
          <cell r="CI249">
            <v>562.17999999999995</v>
          </cell>
          <cell r="CJ249">
            <v>640</v>
          </cell>
          <cell r="CK249">
            <v>665.71</v>
          </cell>
          <cell r="CL249">
            <v>652.86</v>
          </cell>
          <cell r="CM249">
            <v>652.86</v>
          </cell>
          <cell r="CN249">
            <v>652.86</v>
          </cell>
          <cell r="CO249">
            <v>652.86</v>
          </cell>
          <cell r="CP249">
            <v>652.86</v>
          </cell>
          <cell r="CQ249">
            <v>652.86</v>
          </cell>
          <cell r="CR249">
            <v>652.86</v>
          </cell>
          <cell r="CS249">
            <v>652.86</v>
          </cell>
          <cell r="CT249">
            <v>652.86</v>
          </cell>
          <cell r="CU249">
            <v>652.86</v>
          </cell>
          <cell r="CV249">
            <v>800</v>
          </cell>
          <cell r="CW249">
            <v>678.42</v>
          </cell>
          <cell r="CX249">
            <v>739.23</v>
          </cell>
          <cell r="CY249">
            <v>739.23</v>
          </cell>
          <cell r="CZ249">
            <v>739.23</v>
          </cell>
          <cell r="DA249">
            <v>739.23</v>
          </cell>
          <cell r="DB249">
            <v>739.23</v>
          </cell>
          <cell r="DC249">
            <v>739.23</v>
          </cell>
          <cell r="DD249">
            <v>739.23</v>
          </cell>
          <cell r="DE249">
            <v>739.23</v>
          </cell>
          <cell r="DF249">
            <v>739.23</v>
          </cell>
          <cell r="DG249">
            <v>739.23</v>
          </cell>
          <cell r="DH249">
            <v>8870.7199999999975</v>
          </cell>
        </row>
        <row r="250">
          <cell r="A250" t="str">
            <v>6700509</v>
          </cell>
          <cell r="B250" t="str">
            <v>6700509</v>
          </cell>
          <cell r="C250" t="str">
            <v>Ins-I&amp;D Reserves</v>
          </cell>
          <cell r="D250">
            <v>150000</v>
          </cell>
          <cell r="E250">
            <v>150000</v>
          </cell>
          <cell r="F250">
            <v>7818</v>
          </cell>
          <cell r="G250">
            <v>152455.17000000001</v>
          </cell>
          <cell r="H250">
            <v>150000</v>
          </cell>
          <cell r="I250">
            <v>-297537</v>
          </cell>
          <cell r="J250">
            <v>150000</v>
          </cell>
          <cell r="K250">
            <v>147544.82999999999</v>
          </cell>
          <cell r="L250">
            <v>-97262</v>
          </cell>
          <cell r="M250">
            <v>150000</v>
          </cell>
          <cell r="N250">
            <v>150000</v>
          </cell>
          <cell r="O250">
            <v>-438330</v>
          </cell>
          <cell r="P250">
            <v>0</v>
          </cell>
          <cell r="Q250">
            <v>0</v>
          </cell>
          <cell r="R250">
            <v>-428325</v>
          </cell>
          <cell r="S250">
            <v>0</v>
          </cell>
          <cell r="T250">
            <v>0</v>
          </cell>
          <cell r="U250">
            <v>-276270</v>
          </cell>
          <cell r="V250">
            <v>0</v>
          </cell>
          <cell r="W250">
            <v>0</v>
          </cell>
          <cell r="X250">
            <v>-233969</v>
          </cell>
          <cell r="Y250">
            <v>0</v>
          </cell>
          <cell r="Z250">
            <v>0</v>
          </cell>
          <cell r="AA250">
            <v>386533</v>
          </cell>
          <cell r="AB250">
            <v>0</v>
          </cell>
          <cell r="AC250">
            <v>0</v>
          </cell>
          <cell r="AD250">
            <v>-424390</v>
          </cell>
          <cell r="AE250">
            <v>0</v>
          </cell>
          <cell r="AF250">
            <v>0</v>
          </cell>
          <cell r="AG250">
            <v>393830</v>
          </cell>
          <cell r="AH250">
            <v>0</v>
          </cell>
          <cell r="AI250">
            <v>0</v>
          </cell>
          <cell r="AJ250">
            <v>-100932</v>
          </cell>
          <cell r="AK250">
            <v>0</v>
          </cell>
          <cell r="AL250">
            <v>0</v>
          </cell>
          <cell r="AM250">
            <v>256623</v>
          </cell>
          <cell r="AN250">
            <v>0</v>
          </cell>
          <cell r="AO250">
            <v>0</v>
          </cell>
          <cell r="AP250">
            <v>6256.16</v>
          </cell>
          <cell r="AQ250">
            <v>0</v>
          </cell>
          <cell r="AR250">
            <v>0</v>
          </cell>
          <cell r="AS250">
            <v>-157045.1</v>
          </cell>
          <cell r="AT250">
            <v>0</v>
          </cell>
          <cell r="AU250">
            <v>0</v>
          </cell>
          <cell r="AV250">
            <v>380555.37</v>
          </cell>
          <cell r="AW250">
            <v>0</v>
          </cell>
          <cell r="AX250">
            <v>0</v>
          </cell>
          <cell r="AY250">
            <v>-413670.95</v>
          </cell>
          <cell r="AZ250">
            <v>0</v>
          </cell>
          <cell r="BA250">
            <v>0</v>
          </cell>
          <cell r="BB250">
            <v>-120050.22</v>
          </cell>
          <cell r="BC250">
            <v>0</v>
          </cell>
          <cell r="BD250">
            <v>0</v>
          </cell>
          <cell r="BE250">
            <v>89915</v>
          </cell>
          <cell r="BF250">
            <v>0</v>
          </cell>
          <cell r="BG250">
            <v>0</v>
          </cell>
          <cell r="BH250">
            <v>35400.9</v>
          </cell>
          <cell r="BI250">
            <v>0</v>
          </cell>
          <cell r="BJ250">
            <v>0</v>
          </cell>
          <cell r="BK250">
            <v>-62119.5</v>
          </cell>
          <cell r="BL250">
            <v>0</v>
          </cell>
          <cell r="BM250">
            <v>0</v>
          </cell>
          <cell r="BN250">
            <v>810725</v>
          </cell>
          <cell r="BO250">
            <v>0</v>
          </cell>
          <cell r="BP250">
            <v>0</v>
          </cell>
          <cell r="BQ250">
            <v>212852</v>
          </cell>
          <cell r="BR250">
            <v>1000000</v>
          </cell>
          <cell r="BS250">
            <v>0</v>
          </cell>
          <cell r="BT250">
            <v>-554591</v>
          </cell>
          <cell r="BU250">
            <v>0</v>
          </cell>
          <cell r="BV250">
            <v>135000</v>
          </cell>
          <cell r="BW250">
            <v>104572</v>
          </cell>
          <cell r="BX250">
            <v>0</v>
          </cell>
          <cell r="BY250">
            <v>0</v>
          </cell>
          <cell r="BZ250">
            <v>-335653</v>
          </cell>
          <cell r="CA250">
            <v>0</v>
          </cell>
          <cell r="CB250">
            <v>0</v>
          </cell>
          <cell r="CC250">
            <v>306401</v>
          </cell>
          <cell r="CD250">
            <v>0</v>
          </cell>
          <cell r="CE250">
            <v>0</v>
          </cell>
          <cell r="CF250">
            <v>-90453</v>
          </cell>
          <cell r="CG250">
            <v>0</v>
          </cell>
          <cell r="CH250">
            <v>0</v>
          </cell>
          <cell r="CI250">
            <v>646145</v>
          </cell>
          <cell r="CJ250">
            <v>0</v>
          </cell>
          <cell r="CK250">
            <v>0</v>
          </cell>
          <cell r="CL250">
            <v>143683</v>
          </cell>
          <cell r="CM250">
            <v>0</v>
          </cell>
          <cell r="CN250">
            <v>0</v>
          </cell>
          <cell r="CO250">
            <v>-97206.01</v>
          </cell>
          <cell r="CP250">
            <v>0</v>
          </cell>
          <cell r="CQ250">
            <v>0</v>
          </cell>
          <cell r="CR250">
            <v>312483.59999999998</v>
          </cell>
          <cell r="CS250">
            <v>0</v>
          </cell>
          <cell r="CT250">
            <v>0</v>
          </cell>
          <cell r="CU250">
            <v>1091826</v>
          </cell>
          <cell r="CV250">
            <v>0</v>
          </cell>
          <cell r="CW250">
            <v>0</v>
          </cell>
          <cell r="CX250">
            <v>-520268</v>
          </cell>
          <cell r="CY250">
            <v>0</v>
          </cell>
          <cell r="CZ250">
            <v>0</v>
          </cell>
          <cell r="DA250">
            <v>-27882</v>
          </cell>
          <cell r="DB250">
            <v>0</v>
          </cell>
          <cell r="DC250">
            <v>0</v>
          </cell>
          <cell r="DD250">
            <v>-1160726</v>
          </cell>
          <cell r="DE250">
            <v>0</v>
          </cell>
          <cell r="DF250">
            <v>0</v>
          </cell>
          <cell r="DG250">
            <v>-872065</v>
          </cell>
          <cell r="DH250">
            <v>-2580941</v>
          </cell>
        </row>
        <row r="251">
          <cell r="A251" t="str">
            <v>6700513</v>
          </cell>
          <cell r="B251" t="str">
            <v>6700513</v>
          </cell>
          <cell r="C251" t="str">
            <v>Ins-Practices Liab</v>
          </cell>
          <cell r="D251">
            <v>2401.92</v>
          </cell>
          <cell r="E251">
            <v>2401.92</v>
          </cell>
          <cell r="F251">
            <v>2401.92</v>
          </cell>
          <cell r="G251">
            <v>2401.92</v>
          </cell>
          <cell r="H251">
            <v>2401.92</v>
          </cell>
          <cell r="I251">
            <v>2401.92</v>
          </cell>
          <cell r="J251">
            <v>2792.05</v>
          </cell>
          <cell r="K251">
            <v>2792.05</v>
          </cell>
          <cell r="L251">
            <v>2792.05</v>
          </cell>
          <cell r="M251">
            <v>2792.05</v>
          </cell>
          <cell r="N251">
            <v>2792.05</v>
          </cell>
          <cell r="O251">
            <v>2792.05</v>
          </cell>
          <cell r="P251">
            <v>2792.05</v>
          </cell>
          <cell r="Q251">
            <v>2792.05</v>
          </cell>
          <cell r="R251">
            <v>2792.05</v>
          </cell>
          <cell r="S251">
            <v>2792.05</v>
          </cell>
          <cell r="T251">
            <v>2792.05</v>
          </cell>
          <cell r="U251">
            <v>2792.01</v>
          </cell>
          <cell r="V251">
            <v>926.87</v>
          </cell>
          <cell r="W251">
            <v>926.87</v>
          </cell>
          <cell r="X251">
            <v>926.87</v>
          </cell>
          <cell r="Y251">
            <v>926.87</v>
          </cell>
          <cell r="Z251">
            <v>926.87</v>
          </cell>
          <cell r="AA251">
            <v>926.87</v>
          </cell>
          <cell r="AB251">
            <v>926.87</v>
          </cell>
          <cell r="AC251">
            <v>926.87</v>
          </cell>
          <cell r="AD251">
            <v>926.87</v>
          </cell>
          <cell r="AE251">
            <v>926.87</v>
          </cell>
          <cell r="AF251">
            <v>926.87</v>
          </cell>
          <cell r="AG251">
            <v>926.84</v>
          </cell>
          <cell r="AH251">
            <v>910.15</v>
          </cell>
          <cell r="AI251">
            <v>910.15</v>
          </cell>
          <cell r="AJ251">
            <v>910.15</v>
          </cell>
          <cell r="AK251">
            <v>910.15</v>
          </cell>
          <cell r="AL251">
            <v>910.15</v>
          </cell>
          <cell r="AM251">
            <v>910.15</v>
          </cell>
          <cell r="AN251">
            <v>910.15</v>
          </cell>
          <cell r="AO251">
            <v>910.15</v>
          </cell>
          <cell r="AP251">
            <v>1128.71</v>
          </cell>
          <cell r="AQ251">
            <v>959.08</v>
          </cell>
          <cell r="AR251">
            <v>959.08</v>
          </cell>
          <cell r="AS251">
            <v>959.08</v>
          </cell>
          <cell r="AT251">
            <v>959.08</v>
          </cell>
          <cell r="AU251">
            <v>959.08</v>
          </cell>
          <cell r="AV251">
            <v>959.08</v>
          </cell>
          <cell r="AW251">
            <v>959.08</v>
          </cell>
          <cell r="AX251">
            <v>959.08</v>
          </cell>
          <cell r="AY251">
            <v>941.67</v>
          </cell>
          <cell r="AZ251">
            <v>-941.67</v>
          </cell>
          <cell r="BA251">
            <v>941.67</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row>
        <row r="252">
          <cell r="A252" t="str">
            <v>6700514</v>
          </cell>
          <cell r="B252" t="str">
            <v>6700514</v>
          </cell>
          <cell r="C252" t="str">
            <v>Ins-Property</v>
          </cell>
          <cell r="D252">
            <v>8055.68</v>
          </cell>
          <cell r="E252">
            <v>8055.68</v>
          </cell>
          <cell r="F252">
            <v>8055.68</v>
          </cell>
          <cell r="G252">
            <v>7505.76</v>
          </cell>
          <cell r="H252">
            <v>7641.25</v>
          </cell>
          <cell r="I252">
            <v>7641.25</v>
          </cell>
          <cell r="J252">
            <v>7550.97</v>
          </cell>
          <cell r="K252">
            <v>7652.55</v>
          </cell>
          <cell r="L252">
            <v>7571.42</v>
          </cell>
          <cell r="M252">
            <v>7639.03</v>
          </cell>
          <cell r="N252">
            <v>7639.03</v>
          </cell>
          <cell r="O252">
            <v>7639.03</v>
          </cell>
          <cell r="P252">
            <v>7639.03</v>
          </cell>
          <cell r="Q252">
            <v>7639.03</v>
          </cell>
          <cell r="R252">
            <v>7603.03</v>
          </cell>
          <cell r="S252">
            <v>7639.03</v>
          </cell>
          <cell r="T252">
            <v>5319.61</v>
          </cell>
          <cell r="U252">
            <v>6055.6</v>
          </cell>
          <cell r="V252">
            <v>6055.6</v>
          </cell>
          <cell r="W252">
            <v>6055.6</v>
          </cell>
          <cell r="X252">
            <v>6055.6</v>
          </cell>
          <cell r="Y252">
            <v>6055.6</v>
          </cell>
          <cell r="Z252">
            <v>6055.6</v>
          </cell>
          <cell r="AA252">
            <v>6055.6</v>
          </cell>
          <cell r="AB252">
            <v>6005.6</v>
          </cell>
          <cell r="AC252">
            <v>6032.9</v>
          </cell>
          <cell r="AD252">
            <v>6055.58</v>
          </cell>
          <cell r="AE252">
            <v>5361.56</v>
          </cell>
          <cell r="AF252">
            <v>5383.56</v>
          </cell>
          <cell r="AG252">
            <v>5383.56</v>
          </cell>
          <cell r="AH252">
            <v>5383.56</v>
          </cell>
          <cell r="AI252">
            <v>5383.56</v>
          </cell>
          <cell r="AJ252">
            <v>5383.56</v>
          </cell>
          <cell r="AK252">
            <v>5383.56</v>
          </cell>
          <cell r="AL252">
            <v>5383.56</v>
          </cell>
          <cell r="AM252">
            <v>5383.56</v>
          </cell>
          <cell r="AN252">
            <v>5383.56</v>
          </cell>
          <cell r="AO252">
            <v>5383.56</v>
          </cell>
          <cell r="AP252">
            <v>2484.86</v>
          </cell>
          <cell r="AQ252">
            <v>2767.37</v>
          </cell>
          <cell r="AR252">
            <v>3085.84</v>
          </cell>
          <cell r="AS252">
            <v>3033.31</v>
          </cell>
          <cell r="AT252">
            <v>2985.03</v>
          </cell>
          <cell r="AU252">
            <v>3033.31</v>
          </cell>
          <cell r="AV252">
            <v>3033.31</v>
          </cell>
          <cell r="AW252">
            <v>3033.31</v>
          </cell>
          <cell r="AX252">
            <v>3033.31</v>
          </cell>
          <cell r="AY252">
            <v>2962.42</v>
          </cell>
          <cell r="AZ252">
            <v>2867.66</v>
          </cell>
          <cell r="BA252">
            <v>3289.98</v>
          </cell>
          <cell r="BB252">
            <v>2872.54</v>
          </cell>
          <cell r="BC252">
            <v>2998.14</v>
          </cell>
          <cell r="BD252">
            <v>2998.14</v>
          </cell>
          <cell r="BE252">
            <v>2998.14</v>
          </cell>
          <cell r="BF252">
            <v>2998.14</v>
          </cell>
          <cell r="BG252">
            <v>2998.14</v>
          </cell>
          <cell r="BH252">
            <v>2998.14</v>
          </cell>
          <cell r="BI252">
            <v>2998.14</v>
          </cell>
          <cell r="BJ252">
            <v>2998.14</v>
          </cell>
          <cell r="BK252">
            <v>5000</v>
          </cell>
          <cell r="BL252">
            <v>5000</v>
          </cell>
          <cell r="BM252">
            <v>-1180.4100000000001</v>
          </cell>
          <cell r="BN252">
            <v>2943.82</v>
          </cell>
          <cell r="BO252">
            <v>2943.82</v>
          </cell>
          <cell r="BP252">
            <v>2943.82</v>
          </cell>
          <cell r="BQ252">
            <v>2943.82</v>
          </cell>
          <cell r="BR252">
            <v>2943.82</v>
          </cell>
          <cell r="BS252">
            <v>2943.82</v>
          </cell>
          <cell r="BT252">
            <v>2943.82</v>
          </cell>
          <cell r="BU252">
            <v>2943.82</v>
          </cell>
          <cell r="BV252">
            <v>2943.82</v>
          </cell>
          <cell r="BW252">
            <v>3593.8</v>
          </cell>
          <cell r="BX252">
            <v>3593.81</v>
          </cell>
          <cell r="BY252">
            <v>3593.81</v>
          </cell>
          <cell r="BZ252">
            <v>3542.31</v>
          </cell>
          <cell r="CA252">
            <v>3542.31</v>
          </cell>
          <cell r="CB252">
            <v>3542.31</v>
          </cell>
          <cell r="CC252">
            <v>1353.89</v>
          </cell>
          <cell r="CD252">
            <v>2576.0500000000002</v>
          </cell>
          <cell r="CE252">
            <v>3145.35</v>
          </cell>
          <cell r="CF252">
            <v>3032.77</v>
          </cell>
          <cell r="CG252">
            <v>-5194.93</v>
          </cell>
          <cell r="CH252">
            <v>-1823.43</v>
          </cell>
          <cell r="CI252">
            <v>2493.19</v>
          </cell>
          <cell r="CJ252">
            <v>2508.91</v>
          </cell>
          <cell r="CK252">
            <v>2494.62</v>
          </cell>
          <cell r="CL252">
            <v>3640</v>
          </cell>
          <cell r="CM252">
            <v>3640</v>
          </cell>
          <cell r="CN252">
            <v>3917.84</v>
          </cell>
          <cell r="CO252">
            <v>3732.63</v>
          </cell>
          <cell r="CP252">
            <v>3756.58</v>
          </cell>
          <cell r="CQ252">
            <v>3732.63</v>
          </cell>
          <cell r="CR252">
            <v>3732.63</v>
          </cell>
          <cell r="CS252">
            <v>3732.63</v>
          </cell>
          <cell r="CT252">
            <v>3732.63</v>
          </cell>
          <cell r="CU252">
            <v>3732.63</v>
          </cell>
          <cell r="CV252">
            <v>3732.63</v>
          </cell>
          <cell r="CW252">
            <v>3732.63</v>
          </cell>
          <cell r="CX252">
            <v>4636.28</v>
          </cell>
          <cell r="CY252">
            <v>3111.32</v>
          </cell>
          <cell r="CZ252">
            <v>4736.32</v>
          </cell>
          <cell r="DA252">
            <v>4710.12</v>
          </cell>
          <cell r="DB252">
            <v>10012.5</v>
          </cell>
          <cell r="DC252">
            <v>4968.7700000000004</v>
          </cell>
          <cell r="DD252">
            <v>5842.34</v>
          </cell>
          <cell r="DE252">
            <v>5757.78</v>
          </cell>
          <cell r="DF252">
            <v>5757.78</v>
          </cell>
          <cell r="DG252">
            <v>5757.78</v>
          </cell>
          <cell r="DH252">
            <v>62756.25</v>
          </cell>
        </row>
        <row r="253">
          <cell r="A253" t="str">
            <v>6700515</v>
          </cell>
          <cell r="B253" t="str">
            <v>6700515</v>
          </cell>
          <cell r="C253" t="str">
            <v>Ins-Punitive Damages</v>
          </cell>
          <cell r="D253">
            <v>3495.2</v>
          </cell>
          <cell r="E253">
            <v>3495.2</v>
          </cell>
          <cell r="F253">
            <v>3495.2</v>
          </cell>
          <cell r="G253">
            <v>3495.2</v>
          </cell>
          <cell r="H253">
            <v>3495.2</v>
          </cell>
          <cell r="I253">
            <v>3495.2</v>
          </cell>
          <cell r="J253">
            <v>3750.97</v>
          </cell>
          <cell r="K253">
            <v>3750.97</v>
          </cell>
          <cell r="L253">
            <v>3750.97</v>
          </cell>
          <cell r="M253">
            <v>3750.97</v>
          </cell>
          <cell r="N253">
            <v>3750.97</v>
          </cell>
          <cell r="O253">
            <v>3750.97</v>
          </cell>
          <cell r="P253">
            <v>3750.97</v>
          </cell>
          <cell r="Q253">
            <v>3750.97</v>
          </cell>
          <cell r="R253">
            <v>3750.97</v>
          </cell>
          <cell r="S253">
            <v>3750.97</v>
          </cell>
          <cell r="T253">
            <v>3750.97</v>
          </cell>
          <cell r="U253">
            <v>3751.7</v>
          </cell>
          <cell r="V253">
            <v>2707.24</v>
          </cell>
          <cell r="W253">
            <v>2707.24</v>
          </cell>
          <cell r="X253">
            <v>2707.24</v>
          </cell>
          <cell r="Y253">
            <v>2707.24</v>
          </cell>
          <cell r="Z253">
            <v>2707.24</v>
          </cell>
          <cell r="AA253">
            <v>2707.24</v>
          </cell>
          <cell r="AB253">
            <v>2707.24</v>
          </cell>
          <cell r="AC253">
            <v>2707.24</v>
          </cell>
          <cell r="AD253">
            <v>2707.24</v>
          </cell>
          <cell r="AE253">
            <v>2707.24</v>
          </cell>
          <cell r="AF253">
            <v>2707.24</v>
          </cell>
          <cell r="AG253">
            <v>2707.21</v>
          </cell>
          <cell r="AH253">
            <v>2816.35</v>
          </cell>
          <cell r="AI253">
            <v>2816.35</v>
          </cell>
          <cell r="AJ253">
            <v>2816.35</v>
          </cell>
          <cell r="AK253">
            <v>2816.35</v>
          </cell>
          <cell r="AL253">
            <v>2816.35</v>
          </cell>
          <cell r="AM253">
            <v>2816.35</v>
          </cell>
          <cell r="AN253">
            <v>2816.35</v>
          </cell>
          <cell r="AO253">
            <v>2816.35</v>
          </cell>
          <cell r="AP253">
            <v>3919.51</v>
          </cell>
          <cell r="AQ253">
            <v>2887.24</v>
          </cell>
          <cell r="AR253">
            <v>2887.24</v>
          </cell>
          <cell r="AS253">
            <v>2887.24</v>
          </cell>
          <cell r="AT253">
            <v>2887.24</v>
          </cell>
          <cell r="AU253">
            <v>2887.24</v>
          </cell>
          <cell r="AV253">
            <v>2887.24</v>
          </cell>
          <cell r="AW253">
            <v>2887.24</v>
          </cell>
          <cell r="AX253">
            <v>2887.24</v>
          </cell>
          <cell r="AY253">
            <v>2998.72</v>
          </cell>
          <cell r="AZ253">
            <v>2998.73</v>
          </cell>
          <cell r="BA253">
            <v>2998.73</v>
          </cell>
          <cell r="BB253">
            <v>2998.73</v>
          </cell>
          <cell r="BC253">
            <v>2998.73</v>
          </cell>
          <cell r="BD253">
            <v>3916.31</v>
          </cell>
          <cell r="BE253">
            <v>3151.67</v>
          </cell>
          <cell r="BF253">
            <v>3151.67</v>
          </cell>
          <cell r="BG253">
            <v>3151.67</v>
          </cell>
          <cell r="BH253">
            <v>3151.67</v>
          </cell>
          <cell r="BI253">
            <v>3151.67</v>
          </cell>
          <cell r="BJ253">
            <v>3151.67</v>
          </cell>
          <cell r="BK253">
            <v>3200</v>
          </cell>
          <cell r="BL253">
            <v>2759.19</v>
          </cell>
          <cell r="BM253">
            <v>2979.57</v>
          </cell>
          <cell r="BN253">
            <v>3075.38</v>
          </cell>
          <cell r="BO253">
            <v>3003.51</v>
          </cell>
          <cell r="BP253">
            <v>3003.51</v>
          </cell>
          <cell r="BQ253">
            <v>3003.51</v>
          </cell>
          <cell r="BR253">
            <v>3003.51</v>
          </cell>
          <cell r="BS253">
            <v>3003.51</v>
          </cell>
          <cell r="BT253">
            <v>3003.51</v>
          </cell>
          <cell r="BU253">
            <v>3003.51</v>
          </cell>
          <cell r="BV253">
            <v>3003.51</v>
          </cell>
          <cell r="BW253">
            <v>3197.09</v>
          </cell>
          <cell r="BX253">
            <v>3197.11</v>
          </cell>
          <cell r="BY253">
            <v>3197.11</v>
          </cell>
          <cell r="BZ253">
            <v>3197.11</v>
          </cell>
          <cell r="CA253">
            <v>3197.11</v>
          </cell>
          <cell r="CB253">
            <v>3197.11</v>
          </cell>
          <cell r="CC253">
            <v>3197.11</v>
          </cell>
          <cell r="CD253">
            <v>3197.11</v>
          </cell>
          <cell r="CE253">
            <v>3197.11</v>
          </cell>
          <cell r="CF253">
            <v>3197.11</v>
          </cell>
          <cell r="CG253">
            <v>3197.11</v>
          </cell>
          <cell r="CH253">
            <v>3197.11</v>
          </cell>
          <cell r="CI253">
            <v>3197.11</v>
          </cell>
          <cell r="CJ253">
            <v>3197.11</v>
          </cell>
          <cell r="CK253">
            <v>3197.11</v>
          </cell>
          <cell r="CL253">
            <v>3197.11</v>
          </cell>
          <cell r="CM253">
            <v>3197.11</v>
          </cell>
          <cell r="CN253">
            <v>3197.11</v>
          </cell>
          <cell r="CO253">
            <v>2834.56</v>
          </cell>
          <cell r="CP253">
            <v>2834.59</v>
          </cell>
          <cell r="CQ253">
            <v>2834.59</v>
          </cell>
          <cell r="CR253">
            <v>2834.59</v>
          </cell>
          <cell r="CS253">
            <v>2834.59</v>
          </cell>
          <cell r="CT253">
            <v>2834.59</v>
          </cell>
          <cell r="CU253">
            <v>2834.59</v>
          </cell>
          <cell r="CV253">
            <v>2834.59</v>
          </cell>
          <cell r="CW253">
            <v>2834.59</v>
          </cell>
          <cell r="CX253">
            <v>2834.59</v>
          </cell>
          <cell r="CY253">
            <v>2834.59</v>
          </cell>
          <cell r="CZ253">
            <v>2834.59</v>
          </cell>
          <cell r="DA253">
            <v>3500</v>
          </cell>
          <cell r="DB253">
            <v>2169.14</v>
          </cell>
          <cell r="DC253">
            <v>2834.59</v>
          </cell>
          <cell r="DD253">
            <v>2834.59</v>
          </cell>
          <cell r="DE253">
            <v>2834.59</v>
          </cell>
          <cell r="DF253">
            <v>2834.59</v>
          </cell>
          <cell r="DG253">
            <v>2834.59</v>
          </cell>
          <cell r="DH253">
            <v>34015.040000000001</v>
          </cell>
        </row>
        <row r="254">
          <cell r="A254" t="str">
            <v>6700516</v>
          </cell>
          <cell r="B254" t="str">
            <v>6700516</v>
          </cell>
          <cell r="C254" t="str">
            <v>Ins-Special Risk</v>
          </cell>
          <cell r="D254">
            <v>0</v>
          </cell>
          <cell r="E254">
            <v>0</v>
          </cell>
          <cell r="F254">
            <v>0</v>
          </cell>
          <cell r="G254">
            <v>0</v>
          </cell>
          <cell r="H254">
            <v>0</v>
          </cell>
          <cell r="I254">
            <v>0</v>
          </cell>
          <cell r="J254">
            <v>0</v>
          </cell>
          <cell r="K254">
            <v>0</v>
          </cell>
          <cell r="L254">
            <v>0</v>
          </cell>
          <cell r="M254">
            <v>243.85</v>
          </cell>
          <cell r="N254">
            <v>243.85</v>
          </cell>
          <cell r="O254">
            <v>1471.82</v>
          </cell>
          <cell r="P254">
            <v>243.85</v>
          </cell>
          <cell r="Q254">
            <v>243.85</v>
          </cell>
          <cell r="R254">
            <v>243.85</v>
          </cell>
          <cell r="S254">
            <v>243.85</v>
          </cell>
          <cell r="T254">
            <v>243.85</v>
          </cell>
          <cell r="U254">
            <v>243.85</v>
          </cell>
          <cell r="V254">
            <v>-1381.85</v>
          </cell>
          <cell r="W254">
            <v>81.28</v>
          </cell>
          <cell r="X254">
            <v>81.28</v>
          </cell>
          <cell r="Y254">
            <v>81.28</v>
          </cell>
          <cell r="Z254">
            <v>81.28</v>
          </cell>
          <cell r="AA254">
            <v>81.28</v>
          </cell>
          <cell r="AB254">
            <v>81.28</v>
          </cell>
          <cell r="AC254">
            <v>81.28</v>
          </cell>
          <cell r="AD254">
            <v>81.28</v>
          </cell>
          <cell r="AE254">
            <v>81.28</v>
          </cell>
          <cell r="AF254">
            <v>81.28</v>
          </cell>
          <cell r="AG254">
            <v>81.28</v>
          </cell>
          <cell r="AH254">
            <v>81.28</v>
          </cell>
          <cell r="AI254">
            <v>81.28</v>
          </cell>
          <cell r="AJ254">
            <v>81.28</v>
          </cell>
          <cell r="AK254">
            <v>81.28</v>
          </cell>
          <cell r="AL254">
            <v>81.28</v>
          </cell>
          <cell r="AM254">
            <v>81.28</v>
          </cell>
          <cell r="AN254">
            <v>81.28</v>
          </cell>
          <cell r="AO254">
            <v>81.28</v>
          </cell>
          <cell r="AP254">
            <v>81.28</v>
          </cell>
          <cell r="AQ254">
            <v>81.28</v>
          </cell>
          <cell r="AR254">
            <v>81.28</v>
          </cell>
          <cell r="AS254">
            <v>81.28</v>
          </cell>
          <cell r="AT254">
            <v>81.28</v>
          </cell>
          <cell r="AU254">
            <v>-287</v>
          </cell>
          <cell r="AV254">
            <v>20.59</v>
          </cell>
          <cell r="AW254">
            <v>20.59</v>
          </cell>
          <cell r="AX254">
            <v>20.59</v>
          </cell>
          <cell r="AY254">
            <v>20.59</v>
          </cell>
          <cell r="AZ254">
            <v>0</v>
          </cell>
          <cell r="BA254">
            <v>37.5</v>
          </cell>
          <cell r="BB254">
            <v>184.87</v>
          </cell>
          <cell r="BC254">
            <v>74.13</v>
          </cell>
          <cell r="BD254">
            <v>74.13</v>
          </cell>
          <cell r="BE254">
            <v>74.13</v>
          </cell>
          <cell r="BF254">
            <v>74.13</v>
          </cell>
          <cell r="BG254">
            <v>74.13</v>
          </cell>
          <cell r="BH254">
            <v>74.13</v>
          </cell>
          <cell r="BI254">
            <v>74.13</v>
          </cell>
          <cell r="BJ254">
            <v>74.13</v>
          </cell>
          <cell r="BK254">
            <v>74.13</v>
          </cell>
          <cell r="BL254">
            <v>74.03</v>
          </cell>
          <cell r="BM254">
            <v>74.08</v>
          </cell>
          <cell r="BN254">
            <v>74.08</v>
          </cell>
          <cell r="BO254">
            <v>74.08</v>
          </cell>
          <cell r="BP254">
            <v>74.08</v>
          </cell>
          <cell r="BQ254">
            <v>74.08</v>
          </cell>
          <cell r="BR254">
            <v>74.08</v>
          </cell>
          <cell r="BS254">
            <v>74.08</v>
          </cell>
          <cell r="BT254">
            <v>74.08</v>
          </cell>
          <cell r="BU254">
            <v>74.08</v>
          </cell>
          <cell r="BV254">
            <v>74.08</v>
          </cell>
          <cell r="BW254">
            <v>74.08</v>
          </cell>
          <cell r="BX254">
            <v>154.93</v>
          </cell>
          <cell r="BY254">
            <v>154.97</v>
          </cell>
          <cell r="BZ254">
            <v>154.97</v>
          </cell>
          <cell r="CA254">
            <v>154.97</v>
          </cell>
          <cell r="CB254">
            <v>154.97</v>
          </cell>
          <cell r="CC254">
            <v>154.97</v>
          </cell>
          <cell r="CD254">
            <v>154.97</v>
          </cell>
          <cell r="CE254">
            <v>154.97</v>
          </cell>
          <cell r="CF254">
            <v>154.97</v>
          </cell>
          <cell r="CG254">
            <v>154.97</v>
          </cell>
          <cell r="CH254">
            <v>154.97</v>
          </cell>
          <cell r="CI254">
            <v>154.97</v>
          </cell>
          <cell r="CJ254">
            <v>85.89</v>
          </cell>
          <cell r="CK254">
            <v>85.84</v>
          </cell>
          <cell r="CL254">
            <v>85.84</v>
          </cell>
          <cell r="CM254">
            <v>85.84</v>
          </cell>
          <cell r="CN254">
            <v>85.84</v>
          </cell>
          <cell r="CO254">
            <v>85.84</v>
          </cell>
          <cell r="CP254">
            <v>85.84</v>
          </cell>
          <cell r="CQ254">
            <v>85.84</v>
          </cell>
          <cell r="CR254">
            <v>85.84</v>
          </cell>
          <cell r="CS254">
            <v>85.84</v>
          </cell>
          <cell r="CT254">
            <v>85.84</v>
          </cell>
          <cell r="CU254">
            <v>85.84</v>
          </cell>
          <cell r="CV254">
            <v>90</v>
          </cell>
          <cell r="CW254">
            <v>-840.02</v>
          </cell>
          <cell r="CX254">
            <v>88.28</v>
          </cell>
          <cell r="CY254">
            <v>88.28</v>
          </cell>
          <cell r="CZ254">
            <v>88.28</v>
          </cell>
          <cell r="DA254">
            <v>88.28</v>
          </cell>
          <cell r="DB254">
            <v>88.28</v>
          </cell>
          <cell r="DC254">
            <v>88.28</v>
          </cell>
          <cell r="DD254">
            <v>88.28</v>
          </cell>
          <cell r="DE254">
            <v>88.28</v>
          </cell>
          <cell r="DF254">
            <v>88.28</v>
          </cell>
          <cell r="DG254">
            <v>88.28</v>
          </cell>
          <cell r="DH254">
            <v>132.77999999999989</v>
          </cell>
        </row>
        <row r="255">
          <cell r="A255" t="str">
            <v>6700517</v>
          </cell>
          <cell r="B255" t="str">
            <v>6700517</v>
          </cell>
          <cell r="C255" t="str">
            <v>Ins-Surety Bonds</v>
          </cell>
          <cell r="D255">
            <v>0</v>
          </cell>
          <cell r="E255">
            <v>214.76</v>
          </cell>
          <cell r="F255">
            <v>101.31</v>
          </cell>
          <cell r="G255">
            <v>2431.1999999999998</v>
          </cell>
          <cell r="H255">
            <v>0</v>
          </cell>
          <cell r="I255">
            <v>1836.57</v>
          </cell>
          <cell r="J255">
            <v>0</v>
          </cell>
          <cell r="K255">
            <v>506.5</v>
          </cell>
          <cell r="L255">
            <v>0</v>
          </cell>
          <cell r="M255">
            <v>-2153.64</v>
          </cell>
          <cell r="N255">
            <v>0</v>
          </cell>
          <cell r="O255">
            <v>0</v>
          </cell>
          <cell r="P255">
            <v>0</v>
          </cell>
          <cell r="Q255">
            <v>0</v>
          </cell>
          <cell r="R255">
            <v>1013.46</v>
          </cell>
          <cell r="S255">
            <v>2200</v>
          </cell>
          <cell r="T255">
            <v>0</v>
          </cell>
          <cell r="U255">
            <v>3100</v>
          </cell>
          <cell r="V255">
            <v>0</v>
          </cell>
          <cell r="W255">
            <v>0</v>
          </cell>
          <cell r="X255">
            <v>0</v>
          </cell>
          <cell r="Y255">
            <v>0</v>
          </cell>
          <cell r="Z255">
            <v>112</v>
          </cell>
          <cell r="AA255">
            <v>300</v>
          </cell>
          <cell r="AB255">
            <v>0</v>
          </cell>
          <cell r="AC255">
            <v>500</v>
          </cell>
          <cell r="AD255">
            <v>300</v>
          </cell>
          <cell r="AE255">
            <v>0</v>
          </cell>
          <cell r="AF255">
            <v>7555</v>
          </cell>
          <cell r="AG255">
            <v>1875</v>
          </cell>
          <cell r="AH255">
            <v>700</v>
          </cell>
          <cell r="AI255">
            <v>1100</v>
          </cell>
          <cell r="AJ255">
            <v>10562</v>
          </cell>
          <cell r="AK255">
            <v>0</v>
          </cell>
          <cell r="AL255">
            <v>0</v>
          </cell>
          <cell r="AM255">
            <v>1451</v>
          </cell>
          <cell r="AN255">
            <v>-112</v>
          </cell>
          <cell r="AO255">
            <v>0</v>
          </cell>
          <cell r="AP255">
            <v>900</v>
          </cell>
          <cell r="AQ255">
            <v>2200</v>
          </cell>
          <cell r="AR255">
            <v>0</v>
          </cell>
          <cell r="AS255">
            <v>800</v>
          </cell>
          <cell r="AT255">
            <v>-1534</v>
          </cell>
          <cell r="AU255">
            <v>600</v>
          </cell>
          <cell r="AV255">
            <v>200</v>
          </cell>
          <cell r="AW255">
            <v>100</v>
          </cell>
          <cell r="AX255">
            <v>-1875</v>
          </cell>
          <cell r="AY255">
            <v>0</v>
          </cell>
          <cell r="AZ255">
            <v>0</v>
          </cell>
          <cell r="BA255">
            <v>2100</v>
          </cell>
          <cell r="BB255">
            <v>800</v>
          </cell>
          <cell r="BC255">
            <v>100</v>
          </cell>
          <cell r="BD255">
            <v>3399</v>
          </cell>
          <cell r="BE255">
            <v>500</v>
          </cell>
          <cell r="BF255">
            <v>0</v>
          </cell>
          <cell r="BG255">
            <v>2950</v>
          </cell>
          <cell r="BH255">
            <v>0</v>
          </cell>
          <cell r="BI255">
            <v>100</v>
          </cell>
          <cell r="BJ255">
            <v>300</v>
          </cell>
          <cell r="BK255">
            <v>0</v>
          </cell>
          <cell r="BL255">
            <v>0</v>
          </cell>
          <cell r="BM255">
            <v>-30</v>
          </cell>
          <cell r="BN255">
            <v>0</v>
          </cell>
          <cell r="BO255">
            <v>420</v>
          </cell>
          <cell r="BP255">
            <v>0</v>
          </cell>
          <cell r="BQ255">
            <v>0</v>
          </cell>
          <cell r="BR255">
            <v>0</v>
          </cell>
          <cell r="BS255">
            <v>0</v>
          </cell>
          <cell r="BT255">
            <v>0</v>
          </cell>
          <cell r="BU255">
            <v>0</v>
          </cell>
          <cell r="BV255">
            <v>370</v>
          </cell>
          <cell r="BW255">
            <v>54354</v>
          </cell>
          <cell r="BX255">
            <v>200</v>
          </cell>
          <cell r="BY255">
            <v>1280</v>
          </cell>
          <cell r="BZ255">
            <v>3750</v>
          </cell>
          <cell r="CA255">
            <v>0</v>
          </cell>
          <cell r="CB255">
            <v>0</v>
          </cell>
          <cell r="CC255">
            <v>0</v>
          </cell>
          <cell r="CD255">
            <v>174</v>
          </cell>
          <cell r="CE255">
            <v>0</v>
          </cell>
          <cell r="CF255">
            <v>0</v>
          </cell>
          <cell r="CG255">
            <v>4619</v>
          </cell>
          <cell r="CH255">
            <v>2300</v>
          </cell>
          <cell r="CI255">
            <v>48884</v>
          </cell>
          <cell r="CJ255">
            <v>100</v>
          </cell>
          <cell r="CK255">
            <v>0</v>
          </cell>
          <cell r="CL255">
            <v>0</v>
          </cell>
          <cell r="CM255">
            <v>799</v>
          </cell>
          <cell r="CN255">
            <v>770</v>
          </cell>
          <cell r="CO255">
            <v>2950</v>
          </cell>
          <cell r="CP255">
            <v>0</v>
          </cell>
          <cell r="CQ255">
            <v>0</v>
          </cell>
          <cell r="CR255">
            <v>0</v>
          </cell>
          <cell r="CS255">
            <v>2000</v>
          </cell>
          <cell r="CT255">
            <v>100</v>
          </cell>
          <cell r="CU255">
            <v>0</v>
          </cell>
          <cell r="CV255">
            <v>0</v>
          </cell>
          <cell r="CW255">
            <v>0</v>
          </cell>
          <cell r="CX255">
            <v>0</v>
          </cell>
          <cell r="CY255">
            <v>5342</v>
          </cell>
          <cell r="CZ255">
            <v>15121</v>
          </cell>
          <cell r="DA255">
            <v>0</v>
          </cell>
          <cell r="DB255">
            <v>0</v>
          </cell>
          <cell r="DC255">
            <v>750</v>
          </cell>
          <cell r="DD255">
            <v>640</v>
          </cell>
          <cell r="DE255">
            <v>2207.1</v>
          </cell>
          <cell r="DF255">
            <v>2000</v>
          </cell>
          <cell r="DG255">
            <v>0</v>
          </cell>
          <cell r="DH255">
            <v>26060.1</v>
          </cell>
        </row>
        <row r="256">
          <cell r="A256" t="str">
            <v>6700518</v>
          </cell>
          <cell r="B256" t="str">
            <v>6700518</v>
          </cell>
          <cell r="C256" t="str">
            <v>Ins-Travel Accident</v>
          </cell>
          <cell r="D256">
            <v>0</v>
          </cell>
          <cell r="E256">
            <v>0</v>
          </cell>
          <cell r="F256">
            <v>0</v>
          </cell>
          <cell r="G256">
            <v>0</v>
          </cell>
          <cell r="H256">
            <v>0</v>
          </cell>
          <cell r="I256">
            <v>0</v>
          </cell>
          <cell r="J256">
            <v>0</v>
          </cell>
          <cell r="K256">
            <v>0</v>
          </cell>
          <cell r="L256">
            <v>0</v>
          </cell>
          <cell r="M256">
            <v>0</v>
          </cell>
          <cell r="N256">
            <v>0</v>
          </cell>
          <cell r="O256">
            <v>853.5</v>
          </cell>
          <cell r="P256">
            <v>853.5</v>
          </cell>
          <cell r="Q256">
            <v>-946.17</v>
          </cell>
          <cell r="R256">
            <v>278</v>
          </cell>
          <cell r="S256">
            <v>-92.67</v>
          </cell>
          <cell r="T256">
            <v>370.68</v>
          </cell>
          <cell r="U256">
            <v>92.67</v>
          </cell>
          <cell r="V256">
            <v>92.67</v>
          </cell>
          <cell r="W256">
            <v>92.67</v>
          </cell>
          <cell r="X256">
            <v>92.67</v>
          </cell>
          <cell r="Y256">
            <v>92.67</v>
          </cell>
          <cell r="Z256">
            <v>92.67</v>
          </cell>
          <cell r="AA256">
            <v>92.64</v>
          </cell>
          <cell r="AB256">
            <v>75.400000000000006</v>
          </cell>
          <cell r="AC256">
            <v>75.400000000000006</v>
          </cell>
          <cell r="AD256">
            <v>75.400000000000006</v>
          </cell>
          <cell r="AE256">
            <v>75.400000000000006</v>
          </cell>
          <cell r="AF256">
            <v>75.400000000000006</v>
          </cell>
          <cell r="AG256">
            <v>75.400000000000006</v>
          </cell>
          <cell r="AH256">
            <v>75.400000000000006</v>
          </cell>
          <cell r="AI256">
            <v>75.400000000000006</v>
          </cell>
          <cell r="AJ256">
            <v>75.400000000000006</v>
          </cell>
          <cell r="AK256">
            <v>75.400000000000006</v>
          </cell>
          <cell r="AL256">
            <v>75.400000000000006</v>
          </cell>
          <cell r="AM256">
            <v>75.34</v>
          </cell>
          <cell r="AN256">
            <v>0</v>
          </cell>
          <cell r="AO256">
            <v>0</v>
          </cell>
          <cell r="AP256">
            <v>218</v>
          </cell>
          <cell r="AQ256">
            <v>72.66</v>
          </cell>
          <cell r="AR256">
            <v>72.66</v>
          </cell>
          <cell r="AS256">
            <v>72.66</v>
          </cell>
          <cell r="AT256">
            <v>72.66</v>
          </cell>
          <cell r="AU256">
            <v>72.66</v>
          </cell>
          <cell r="AV256">
            <v>72.66</v>
          </cell>
          <cell r="AW256">
            <v>72.66</v>
          </cell>
          <cell r="AX256">
            <v>72.66</v>
          </cell>
          <cell r="AY256">
            <v>72.66</v>
          </cell>
          <cell r="AZ256">
            <v>72.66</v>
          </cell>
          <cell r="BA256">
            <v>72.66</v>
          </cell>
          <cell r="BB256">
            <v>72.66</v>
          </cell>
          <cell r="BC256">
            <v>72.66</v>
          </cell>
          <cell r="BD256">
            <v>72.66</v>
          </cell>
          <cell r="BE256">
            <v>72.66</v>
          </cell>
          <cell r="BF256">
            <v>72.66</v>
          </cell>
          <cell r="BG256">
            <v>72.66</v>
          </cell>
          <cell r="BH256">
            <v>72.66</v>
          </cell>
          <cell r="BI256">
            <v>72.66</v>
          </cell>
          <cell r="BJ256">
            <v>72.66</v>
          </cell>
          <cell r="BK256">
            <v>72.66</v>
          </cell>
          <cell r="BL256">
            <v>72.66</v>
          </cell>
          <cell r="BM256">
            <v>72.66</v>
          </cell>
          <cell r="BN256">
            <v>72.66</v>
          </cell>
          <cell r="BO256">
            <v>72.66</v>
          </cell>
          <cell r="BP256">
            <v>72.66</v>
          </cell>
          <cell r="BQ256">
            <v>72.66</v>
          </cell>
          <cell r="BR256">
            <v>72.66</v>
          </cell>
          <cell r="BS256">
            <v>72.66</v>
          </cell>
          <cell r="BT256">
            <v>90.94</v>
          </cell>
          <cell r="BU256">
            <v>81.81</v>
          </cell>
          <cell r="BV256">
            <v>81.81</v>
          </cell>
          <cell r="BW256">
            <v>81.81</v>
          </cell>
          <cell r="BX256">
            <v>63.35</v>
          </cell>
          <cell r="BY256">
            <v>63.36</v>
          </cell>
          <cell r="BZ256">
            <v>63.36</v>
          </cell>
          <cell r="CA256">
            <v>63.36</v>
          </cell>
          <cell r="CB256">
            <v>63.36</v>
          </cell>
          <cell r="CC256">
            <v>63.36</v>
          </cell>
          <cell r="CD256">
            <v>63.36</v>
          </cell>
          <cell r="CE256">
            <v>63.36</v>
          </cell>
          <cell r="CF256">
            <v>63.36</v>
          </cell>
          <cell r="CG256">
            <v>63.36</v>
          </cell>
          <cell r="CH256">
            <v>63.36</v>
          </cell>
          <cell r="CI256">
            <v>63.36</v>
          </cell>
          <cell r="CJ256">
            <v>63.36</v>
          </cell>
          <cell r="CK256">
            <v>63.36</v>
          </cell>
          <cell r="CL256">
            <v>63.36</v>
          </cell>
          <cell r="CM256">
            <v>63.36</v>
          </cell>
          <cell r="CN256">
            <v>63.36</v>
          </cell>
          <cell r="CO256">
            <v>63.36</v>
          </cell>
          <cell r="CP256">
            <v>63.36</v>
          </cell>
          <cell r="CQ256">
            <v>63.36</v>
          </cell>
          <cell r="CR256">
            <v>63.36</v>
          </cell>
          <cell r="CS256">
            <v>63.36</v>
          </cell>
          <cell r="CT256">
            <v>63.36</v>
          </cell>
          <cell r="CU256">
            <v>63.36</v>
          </cell>
          <cell r="CV256">
            <v>63.36</v>
          </cell>
          <cell r="CW256">
            <v>63.36</v>
          </cell>
          <cell r="CX256">
            <v>63.36</v>
          </cell>
          <cell r="CY256">
            <v>63.36</v>
          </cell>
          <cell r="CZ256">
            <v>63.36</v>
          </cell>
          <cell r="DA256">
            <v>63.36</v>
          </cell>
          <cell r="DB256">
            <v>63.36</v>
          </cell>
          <cell r="DC256">
            <v>63.36</v>
          </cell>
          <cell r="DD256">
            <v>63.36</v>
          </cell>
          <cell r="DE256">
            <v>63.36</v>
          </cell>
          <cell r="DF256">
            <v>63.36</v>
          </cell>
          <cell r="DG256">
            <v>63.36</v>
          </cell>
          <cell r="DH256">
            <v>760.32</v>
          </cell>
        </row>
        <row r="257">
          <cell r="A257" t="str">
            <v>6700519</v>
          </cell>
          <cell r="B257" t="str">
            <v>6700519</v>
          </cell>
          <cell r="C257" t="str">
            <v>Ins-WC Excess</v>
          </cell>
          <cell r="D257">
            <v>10644.05</v>
          </cell>
          <cell r="E257">
            <v>10644.05</v>
          </cell>
          <cell r="F257">
            <v>10644.05</v>
          </cell>
          <cell r="G257">
            <v>8742.0499999999993</v>
          </cell>
          <cell r="H257">
            <v>10644.05</v>
          </cell>
          <cell r="I257">
            <v>10644.05</v>
          </cell>
          <cell r="J257">
            <v>11078.65</v>
          </cell>
          <cell r="K257">
            <v>11078.65</v>
          </cell>
          <cell r="L257">
            <v>11078.65</v>
          </cell>
          <cell r="M257">
            <v>11078.65</v>
          </cell>
          <cell r="N257">
            <v>11078.65</v>
          </cell>
          <cell r="O257">
            <v>11078.65</v>
          </cell>
          <cell r="P257">
            <v>11078.65</v>
          </cell>
          <cell r="Q257">
            <v>11078.65</v>
          </cell>
          <cell r="R257">
            <v>11078.65</v>
          </cell>
          <cell r="S257">
            <v>11078.65</v>
          </cell>
          <cell r="T257">
            <v>11078.65</v>
          </cell>
          <cell r="U257">
            <v>11078.63</v>
          </cell>
          <cell r="V257">
            <v>13334.49</v>
          </cell>
          <cell r="W257">
            <v>13334.49</v>
          </cell>
          <cell r="X257">
            <v>13334.49</v>
          </cell>
          <cell r="Y257">
            <v>13334.49</v>
          </cell>
          <cell r="Z257">
            <v>13334.49</v>
          </cell>
          <cell r="AA257">
            <v>13334.49</v>
          </cell>
          <cell r="AB257">
            <v>15517.79</v>
          </cell>
          <cell r="AC257">
            <v>13334.49</v>
          </cell>
          <cell r="AD257">
            <v>13334.49</v>
          </cell>
          <cell r="AE257">
            <v>15189.59</v>
          </cell>
          <cell r="AF257">
            <v>4422.82</v>
          </cell>
          <cell r="AG257">
            <v>13334.46</v>
          </cell>
          <cell r="AH257">
            <v>8327.2900000000009</v>
          </cell>
          <cell r="AI257">
            <v>6472.19</v>
          </cell>
          <cell r="AJ257">
            <v>6472.19</v>
          </cell>
          <cell r="AK257">
            <v>13248.75</v>
          </cell>
          <cell r="AL257">
            <v>6472.19</v>
          </cell>
          <cell r="AM257">
            <v>6472.19</v>
          </cell>
          <cell r="AN257">
            <v>8327.2900000000009</v>
          </cell>
          <cell r="AO257">
            <v>6472.19</v>
          </cell>
          <cell r="AP257">
            <v>6472.19</v>
          </cell>
          <cell r="AQ257">
            <v>6472.19</v>
          </cell>
          <cell r="AR257">
            <v>6472.19</v>
          </cell>
          <cell r="AS257">
            <v>8749.59</v>
          </cell>
          <cell r="AT257">
            <v>7935.95</v>
          </cell>
          <cell r="AU257">
            <v>5658.55</v>
          </cell>
          <cell r="AV257">
            <v>5658.55</v>
          </cell>
          <cell r="AW257">
            <v>7935.95</v>
          </cell>
          <cell r="AX257">
            <v>5658.55</v>
          </cell>
          <cell r="AY257">
            <v>5916.83</v>
          </cell>
          <cell r="AZ257">
            <v>7965.12</v>
          </cell>
          <cell r="BA257">
            <v>5802.25</v>
          </cell>
          <cell r="BB257">
            <v>5802.25</v>
          </cell>
          <cell r="BC257">
            <v>7089.96</v>
          </cell>
          <cell r="BD257">
            <v>5802.25</v>
          </cell>
          <cell r="BE257">
            <v>5802.25</v>
          </cell>
          <cell r="BF257">
            <v>7089.96</v>
          </cell>
          <cell r="BG257">
            <v>5802.25</v>
          </cell>
          <cell r="BH257">
            <v>5802.25</v>
          </cell>
          <cell r="BI257">
            <v>7089.96</v>
          </cell>
          <cell r="BJ257">
            <v>7089.96</v>
          </cell>
          <cell r="BK257">
            <v>5524.86</v>
          </cell>
          <cell r="BL257">
            <v>5524.88</v>
          </cell>
          <cell r="BM257">
            <v>5524.88</v>
          </cell>
          <cell r="BN257">
            <v>5524.88</v>
          </cell>
          <cell r="BO257">
            <v>5524.88</v>
          </cell>
          <cell r="BP257">
            <v>5524.88</v>
          </cell>
          <cell r="BQ257">
            <v>5524.88</v>
          </cell>
          <cell r="BR257">
            <v>5524.88</v>
          </cell>
          <cell r="BS257">
            <v>5524.88</v>
          </cell>
          <cell r="BT257">
            <v>7137.68</v>
          </cell>
          <cell r="BU257">
            <v>5524.88</v>
          </cell>
          <cell r="BV257">
            <v>5524.88</v>
          </cell>
          <cell r="BW257">
            <v>5800</v>
          </cell>
          <cell r="BX257">
            <v>5800</v>
          </cell>
          <cell r="BY257">
            <v>7840.54</v>
          </cell>
          <cell r="BZ257">
            <v>7954.8</v>
          </cell>
          <cell r="CA257">
            <v>6480.18</v>
          </cell>
          <cell r="CB257">
            <v>6480.18</v>
          </cell>
          <cell r="CC257">
            <v>6480.18</v>
          </cell>
          <cell r="CD257">
            <v>6480.18</v>
          </cell>
          <cell r="CE257">
            <v>6480.18</v>
          </cell>
          <cell r="CF257">
            <v>6480.18</v>
          </cell>
          <cell r="CG257">
            <v>6480.18</v>
          </cell>
          <cell r="CH257">
            <v>6480.18</v>
          </cell>
          <cell r="CI257">
            <v>7324</v>
          </cell>
          <cell r="CJ257">
            <v>7300</v>
          </cell>
          <cell r="CK257">
            <v>9561.58</v>
          </cell>
          <cell r="CL257">
            <v>8053.88</v>
          </cell>
          <cell r="CM257">
            <v>12023.96</v>
          </cell>
          <cell r="CN257">
            <v>8053.88</v>
          </cell>
          <cell r="CO257">
            <v>8053.88</v>
          </cell>
          <cell r="CP257">
            <v>8053.88</v>
          </cell>
          <cell r="CQ257">
            <v>8053.88</v>
          </cell>
          <cell r="CR257">
            <v>8053.88</v>
          </cell>
          <cell r="CS257">
            <v>8053.88</v>
          </cell>
          <cell r="CT257">
            <v>8053.88</v>
          </cell>
          <cell r="CU257">
            <v>8991.6299999999992</v>
          </cell>
          <cell r="CV257">
            <v>8065.1</v>
          </cell>
          <cell r="CW257">
            <v>10138.049999999999</v>
          </cell>
          <cell r="CX257">
            <v>12821.01</v>
          </cell>
          <cell r="CY257">
            <v>8482.5499999999993</v>
          </cell>
          <cell r="CZ257">
            <v>8482.5499999999993</v>
          </cell>
          <cell r="DA257">
            <v>8900</v>
          </cell>
          <cell r="DB257">
            <v>9302.06</v>
          </cell>
          <cell r="DC257">
            <v>8767.0300000000007</v>
          </cell>
          <cell r="DD257">
            <v>8767.0300000000007</v>
          </cell>
          <cell r="DE257">
            <v>8767.0300000000007</v>
          </cell>
          <cell r="DF257">
            <v>8858.66</v>
          </cell>
          <cell r="DG257">
            <v>11220.03</v>
          </cell>
          <cell r="DH257">
            <v>112571.1</v>
          </cell>
        </row>
        <row r="258">
          <cell r="A258" t="str">
            <v>6700520</v>
          </cell>
          <cell r="B258" t="str">
            <v>6700520</v>
          </cell>
          <cell r="C258" t="str">
            <v>Ins-WC States</v>
          </cell>
          <cell r="D258">
            <v>-8456.66</v>
          </cell>
          <cell r="E258">
            <v>0</v>
          </cell>
          <cell r="F258">
            <v>-0.03</v>
          </cell>
          <cell r="G258">
            <v>-12035</v>
          </cell>
          <cell r="H258">
            <v>-25336</v>
          </cell>
          <cell r="I258">
            <v>0</v>
          </cell>
          <cell r="J258">
            <v>0</v>
          </cell>
          <cell r="K258">
            <v>0</v>
          </cell>
          <cell r="L258">
            <v>0</v>
          </cell>
          <cell r="M258">
            <v>0</v>
          </cell>
          <cell r="N258">
            <v>0</v>
          </cell>
          <cell r="O258">
            <v>0</v>
          </cell>
          <cell r="P258">
            <v>0</v>
          </cell>
          <cell r="Q258">
            <v>0</v>
          </cell>
          <cell r="R258">
            <v>69</v>
          </cell>
          <cell r="S258">
            <v>-109</v>
          </cell>
          <cell r="T258">
            <v>0</v>
          </cell>
          <cell r="U258">
            <v>0</v>
          </cell>
          <cell r="V258">
            <v>0</v>
          </cell>
          <cell r="W258">
            <v>0</v>
          </cell>
          <cell r="X258">
            <v>0</v>
          </cell>
          <cell r="Y258">
            <v>0</v>
          </cell>
          <cell r="Z258">
            <v>0</v>
          </cell>
          <cell r="AA258">
            <v>0</v>
          </cell>
          <cell r="AB258">
            <v>0</v>
          </cell>
          <cell r="AC258">
            <v>0</v>
          </cell>
          <cell r="AD258">
            <v>114</v>
          </cell>
          <cell r="AE258">
            <v>0</v>
          </cell>
          <cell r="AF258">
            <v>0</v>
          </cell>
          <cell r="AG258">
            <v>0</v>
          </cell>
          <cell r="AH258">
            <v>-30750.53</v>
          </cell>
          <cell r="AI258">
            <v>0</v>
          </cell>
          <cell r="AJ258">
            <v>0</v>
          </cell>
          <cell r="AK258">
            <v>0</v>
          </cell>
          <cell r="AL258">
            <v>0</v>
          </cell>
          <cell r="AM258">
            <v>0</v>
          </cell>
          <cell r="AN258">
            <v>0</v>
          </cell>
          <cell r="AO258">
            <v>0</v>
          </cell>
          <cell r="AP258">
            <v>7526</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row>
        <row r="259">
          <cell r="A259" t="str">
            <v>6700599</v>
          </cell>
          <cell r="B259" t="str">
            <v>6700599</v>
          </cell>
          <cell r="C259" t="str">
            <v>Ins-Other</v>
          </cell>
          <cell r="D259">
            <v>2670.57</v>
          </cell>
          <cell r="E259">
            <v>0</v>
          </cell>
          <cell r="F259">
            <v>506</v>
          </cell>
          <cell r="G259">
            <v>0</v>
          </cell>
          <cell r="H259">
            <v>0</v>
          </cell>
          <cell r="I259">
            <v>0</v>
          </cell>
          <cell r="J259">
            <v>3400.29</v>
          </cell>
          <cell r="K259">
            <v>8770.2099999999991</v>
          </cell>
          <cell r="L259">
            <v>315.04000000000002</v>
          </cell>
          <cell r="M259">
            <v>2896.21</v>
          </cell>
          <cell r="N259">
            <v>315.04000000000002</v>
          </cell>
          <cell r="O259">
            <v>315.04000000000002</v>
          </cell>
          <cell r="P259">
            <v>2770.49</v>
          </cell>
          <cell r="Q259">
            <v>315.04000000000002</v>
          </cell>
          <cell r="R259">
            <v>315.04000000000002</v>
          </cell>
          <cell r="S259">
            <v>2498.34</v>
          </cell>
          <cell r="T259">
            <v>315.04000000000002</v>
          </cell>
          <cell r="U259">
            <v>-504.67</v>
          </cell>
          <cell r="V259">
            <v>2183.3000000000002</v>
          </cell>
          <cell r="W259">
            <v>6000</v>
          </cell>
          <cell r="X259">
            <v>0</v>
          </cell>
          <cell r="Y259">
            <v>2183.3000000000002</v>
          </cell>
          <cell r="Z259">
            <v>0</v>
          </cell>
          <cell r="AA259">
            <v>0</v>
          </cell>
          <cell r="AB259">
            <v>0</v>
          </cell>
          <cell r="AC259">
            <v>0</v>
          </cell>
          <cell r="AD259">
            <v>0</v>
          </cell>
          <cell r="AE259">
            <v>0</v>
          </cell>
          <cell r="AF259">
            <v>118.5</v>
          </cell>
          <cell r="AG259">
            <v>118.5</v>
          </cell>
          <cell r="AH259">
            <v>118.5</v>
          </cell>
          <cell r="AI259">
            <v>358.5</v>
          </cell>
          <cell r="AJ259">
            <v>358.5</v>
          </cell>
          <cell r="AK259">
            <v>358.5</v>
          </cell>
          <cell r="AL259">
            <v>358.5</v>
          </cell>
          <cell r="AM259">
            <v>358.5</v>
          </cell>
          <cell r="AN259">
            <v>358.5</v>
          </cell>
          <cell r="AO259">
            <v>358.5</v>
          </cell>
          <cell r="AP259">
            <v>358.5</v>
          </cell>
          <cell r="AQ259">
            <v>358.5</v>
          </cell>
          <cell r="AR259">
            <v>406.75</v>
          </cell>
          <cell r="AS259">
            <v>406.75</v>
          </cell>
          <cell r="AT259">
            <v>1924.68</v>
          </cell>
          <cell r="AU259">
            <v>1165.74</v>
          </cell>
          <cell r="AV259">
            <v>1165.74</v>
          </cell>
          <cell r="AW259">
            <v>1165.74</v>
          </cell>
          <cell r="AX259">
            <v>1165.74</v>
          </cell>
          <cell r="AY259">
            <v>1384.42</v>
          </cell>
          <cell r="AZ259">
            <v>1193.07</v>
          </cell>
          <cell r="BA259">
            <v>1193.07</v>
          </cell>
          <cell r="BB259">
            <v>1193.07</v>
          </cell>
          <cell r="BC259">
            <v>1193.07</v>
          </cell>
          <cell r="BD259">
            <v>1224.5</v>
          </cell>
          <cell r="BE259">
            <v>465.51</v>
          </cell>
          <cell r="BF259">
            <v>465.51</v>
          </cell>
          <cell r="BG259">
            <v>2800.59</v>
          </cell>
          <cell r="BH259">
            <v>3441.54</v>
          </cell>
          <cell r="BI259">
            <v>2346.04</v>
          </cell>
          <cell r="BJ259">
            <v>2346.04</v>
          </cell>
          <cell r="BK259">
            <v>2346.04</v>
          </cell>
          <cell r="BL259">
            <v>3718.68</v>
          </cell>
          <cell r="BM259">
            <v>6556.49</v>
          </cell>
          <cell r="BN259">
            <v>2689.21</v>
          </cell>
          <cell r="BO259">
            <v>2689.21</v>
          </cell>
          <cell r="BP259">
            <v>2463.6999999999998</v>
          </cell>
          <cell r="BQ259">
            <v>1272.3699999999999</v>
          </cell>
          <cell r="BR259">
            <v>5084.8</v>
          </cell>
          <cell r="BS259">
            <v>3008.76</v>
          </cell>
          <cell r="BT259">
            <v>3008.76</v>
          </cell>
          <cell r="BU259">
            <v>2765.59</v>
          </cell>
          <cell r="BV259">
            <v>3351.89</v>
          </cell>
          <cell r="BW259">
            <v>3008.76</v>
          </cell>
          <cell r="BX259">
            <v>3008.76</v>
          </cell>
          <cell r="BY259">
            <v>3008.76</v>
          </cell>
          <cell r="BZ259">
            <v>6204.4</v>
          </cell>
          <cell r="CA259">
            <v>3008.76</v>
          </cell>
          <cell r="CB259">
            <v>2669.18</v>
          </cell>
          <cell r="CC259">
            <v>2807.17</v>
          </cell>
          <cell r="CD259">
            <v>4302.67</v>
          </cell>
          <cell r="CE259">
            <v>841.67</v>
          </cell>
          <cell r="CF259">
            <v>13813.48</v>
          </cell>
          <cell r="CG259">
            <v>62157.99</v>
          </cell>
          <cell r="CH259">
            <v>4337.29</v>
          </cell>
          <cell r="CI259">
            <v>4043.16</v>
          </cell>
          <cell r="CJ259">
            <v>4316.3</v>
          </cell>
          <cell r="CK259">
            <v>4179.7299999999996</v>
          </cell>
          <cell r="CL259">
            <v>4179.7299999999996</v>
          </cell>
          <cell r="CM259">
            <v>4179.7299999999996</v>
          </cell>
          <cell r="CN259">
            <v>4498.7299999999996</v>
          </cell>
          <cell r="CO259">
            <v>4498.7299999999996</v>
          </cell>
          <cell r="CP259">
            <v>4139.33</v>
          </cell>
          <cell r="CQ259">
            <v>5882.3</v>
          </cell>
          <cell r="CR259">
            <v>5882.3</v>
          </cell>
          <cell r="CS259">
            <v>5588.13</v>
          </cell>
          <cell r="CT259">
            <v>6176.33</v>
          </cell>
          <cell r="CU259">
            <v>5882.16</v>
          </cell>
          <cell r="CV259">
            <v>5882.22</v>
          </cell>
          <cell r="CW259">
            <v>5882.22</v>
          </cell>
          <cell r="CX259">
            <v>5882.22</v>
          </cell>
          <cell r="CY259">
            <v>5882.22</v>
          </cell>
          <cell r="CZ259">
            <v>6064.72</v>
          </cell>
          <cell r="DA259">
            <v>6064.72</v>
          </cell>
          <cell r="DB259">
            <v>5560.12</v>
          </cell>
          <cell r="DC259">
            <v>8772.92</v>
          </cell>
          <cell r="DD259">
            <v>8772.98</v>
          </cell>
          <cell r="DE259">
            <v>8772.9</v>
          </cell>
          <cell r="DF259">
            <v>8184.9</v>
          </cell>
          <cell r="DG259">
            <v>9424.2099999999991</v>
          </cell>
          <cell r="DH259">
            <v>85146.349999999977</v>
          </cell>
        </row>
        <row r="260">
          <cell r="A260" t="str">
            <v>6709000</v>
          </cell>
          <cell r="B260" t="str">
            <v>6709000</v>
          </cell>
          <cell r="C260" t="str">
            <v>Ins to BalSheet</v>
          </cell>
          <cell r="AE260">
            <v>0</v>
          </cell>
          <cell r="AF260">
            <v>-2275</v>
          </cell>
          <cell r="AG260">
            <v>-1875</v>
          </cell>
          <cell r="AH260">
            <v>-100</v>
          </cell>
          <cell r="AI260">
            <v>0</v>
          </cell>
          <cell r="AJ260">
            <v>-10450</v>
          </cell>
          <cell r="AK260">
            <v>0</v>
          </cell>
          <cell r="AL260">
            <v>0</v>
          </cell>
          <cell r="AM260">
            <v>-1151</v>
          </cell>
          <cell r="AN260">
            <v>0</v>
          </cell>
          <cell r="AO260">
            <v>0</v>
          </cell>
          <cell r="AP260">
            <v>-400</v>
          </cell>
          <cell r="AQ260">
            <v>0</v>
          </cell>
          <cell r="AR260">
            <v>0</v>
          </cell>
          <cell r="AS260">
            <v>0</v>
          </cell>
          <cell r="AT260">
            <v>1202</v>
          </cell>
          <cell r="AU260">
            <v>-100</v>
          </cell>
          <cell r="AV260">
            <v>0</v>
          </cell>
          <cell r="AW260">
            <v>0</v>
          </cell>
          <cell r="AX260">
            <v>1875</v>
          </cell>
          <cell r="AY260">
            <v>0</v>
          </cell>
          <cell r="AZ260">
            <v>0</v>
          </cell>
          <cell r="BA260">
            <v>-100</v>
          </cell>
          <cell r="BB260">
            <v>0</v>
          </cell>
          <cell r="BC260">
            <v>0</v>
          </cell>
          <cell r="BD260">
            <v>-899</v>
          </cell>
          <cell r="BE260">
            <v>0</v>
          </cell>
          <cell r="BF260">
            <v>0</v>
          </cell>
          <cell r="BG260">
            <v>-850</v>
          </cell>
          <cell r="BH260">
            <v>0</v>
          </cell>
          <cell r="BI260">
            <v>-100</v>
          </cell>
          <cell r="BJ260">
            <v>-100</v>
          </cell>
          <cell r="BK260">
            <v>0</v>
          </cell>
          <cell r="BL260">
            <v>0</v>
          </cell>
          <cell r="BM260">
            <v>0</v>
          </cell>
          <cell r="BN260">
            <v>0</v>
          </cell>
          <cell r="BO260">
            <v>0</v>
          </cell>
          <cell r="BP260">
            <v>0</v>
          </cell>
          <cell r="BQ260">
            <v>0</v>
          </cell>
          <cell r="BR260">
            <v>0</v>
          </cell>
          <cell r="BS260">
            <v>0</v>
          </cell>
          <cell r="BT260">
            <v>0</v>
          </cell>
          <cell r="BU260">
            <v>-100</v>
          </cell>
          <cell r="BV260">
            <v>0</v>
          </cell>
          <cell r="BW260">
            <v>-53754</v>
          </cell>
          <cell r="BX260">
            <v>-200</v>
          </cell>
          <cell r="BY260">
            <v>-1280</v>
          </cell>
          <cell r="BZ260">
            <v>-1750</v>
          </cell>
          <cell r="CA260">
            <v>0</v>
          </cell>
          <cell r="CB260">
            <v>0</v>
          </cell>
          <cell r="CC260">
            <v>0</v>
          </cell>
          <cell r="CD260">
            <v>0</v>
          </cell>
          <cell r="CE260">
            <v>0</v>
          </cell>
          <cell r="CF260">
            <v>-6471</v>
          </cell>
          <cell r="CG260">
            <v>-3820</v>
          </cell>
          <cell r="CH260">
            <v>-2300</v>
          </cell>
          <cell r="CI260">
            <v>-48884</v>
          </cell>
          <cell r="CJ260">
            <v>-100</v>
          </cell>
          <cell r="CK260">
            <v>0</v>
          </cell>
          <cell r="CL260">
            <v>0</v>
          </cell>
          <cell r="CM260">
            <v>-799</v>
          </cell>
          <cell r="CN260">
            <v>-770</v>
          </cell>
          <cell r="CO260">
            <v>-2950</v>
          </cell>
          <cell r="CP260">
            <v>0</v>
          </cell>
          <cell r="CQ260">
            <v>0</v>
          </cell>
          <cell r="CR260">
            <v>0</v>
          </cell>
          <cell r="CS260">
            <v>-2000</v>
          </cell>
          <cell r="CT260">
            <v>-100</v>
          </cell>
          <cell r="CU260">
            <v>0</v>
          </cell>
          <cell r="CV260">
            <v>0</v>
          </cell>
          <cell r="CW260">
            <v>0</v>
          </cell>
          <cell r="CX260">
            <v>0</v>
          </cell>
          <cell r="CY260">
            <v>-2543</v>
          </cell>
          <cell r="CZ260">
            <v>-15121</v>
          </cell>
          <cell r="DA260">
            <v>0</v>
          </cell>
          <cell r="DB260">
            <v>0</v>
          </cell>
          <cell r="DC260">
            <v>-750</v>
          </cell>
          <cell r="DD260">
            <v>-640</v>
          </cell>
          <cell r="DE260">
            <v>-2207.1</v>
          </cell>
          <cell r="DF260">
            <v>0</v>
          </cell>
          <cell r="DG260">
            <v>0</v>
          </cell>
          <cell r="DH260">
            <v>-21261.1</v>
          </cell>
        </row>
        <row r="261">
          <cell r="A261" t="str">
            <v>6710030</v>
          </cell>
          <cell r="B261" t="str">
            <v>6710030</v>
          </cell>
          <cell r="C261" t="str">
            <v>ST Rent-Office Equip</v>
          </cell>
          <cell r="CB261">
            <v>28</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row>
        <row r="262">
          <cell r="A262" t="str">
            <v>6710040</v>
          </cell>
          <cell r="B262" t="str">
            <v>6710040</v>
          </cell>
          <cell r="C262" t="str">
            <v>ST Rent-Office Space</v>
          </cell>
          <cell r="CB262">
            <v>28</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-913.37</v>
          </cell>
          <cell r="CY262">
            <v>0</v>
          </cell>
          <cell r="CZ262">
            <v>0</v>
          </cell>
          <cell r="DA262">
            <v>0</v>
          </cell>
          <cell r="DB262">
            <v>0</v>
          </cell>
          <cell r="DC262">
            <v>0</v>
          </cell>
          <cell r="DD262">
            <v>0</v>
          </cell>
          <cell r="DE262">
            <v>0</v>
          </cell>
          <cell r="DF262">
            <v>0</v>
          </cell>
          <cell r="DG262">
            <v>0</v>
          </cell>
          <cell r="DH262">
            <v>-913.37</v>
          </cell>
        </row>
        <row r="263">
          <cell r="A263" t="str">
            <v>6710050</v>
          </cell>
          <cell r="B263" t="str">
            <v>6710050</v>
          </cell>
          <cell r="C263" t="str">
            <v>Rent-Right of Way</v>
          </cell>
          <cell r="D263">
            <v>7580</v>
          </cell>
          <cell r="E263">
            <v>3203.74</v>
          </cell>
          <cell r="F263">
            <v>1270.1600000000001</v>
          </cell>
          <cell r="G263">
            <v>524.29999999999995</v>
          </cell>
          <cell r="H263">
            <v>140</v>
          </cell>
          <cell r="I263">
            <v>17096.61</v>
          </cell>
          <cell r="J263">
            <v>2518.2199999999998</v>
          </cell>
          <cell r="K263">
            <v>15396.64</v>
          </cell>
          <cell r="L263">
            <v>1508.81</v>
          </cell>
          <cell r="M263">
            <v>2110.6999999999998</v>
          </cell>
          <cell r="N263">
            <v>115790.79</v>
          </cell>
          <cell r="O263">
            <v>-576.91</v>
          </cell>
          <cell r="P263">
            <v>13704</v>
          </cell>
          <cell r="Q263">
            <v>8178.82</v>
          </cell>
          <cell r="R263">
            <v>23849.85</v>
          </cell>
          <cell r="S263">
            <v>190.65</v>
          </cell>
          <cell r="T263">
            <v>16773.86</v>
          </cell>
          <cell r="U263">
            <v>6218.45</v>
          </cell>
          <cell r="V263">
            <v>417.6</v>
          </cell>
          <cell r="W263">
            <v>880.75</v>
          </cell>
          <cell r="X263">
            <v>7535.49</v>
          </cell>
          <cell r="Y263">
            <v>11865.38</v>
          </cell>
          <cell r="Z263">
            <v>114504.17</v>
          </cell>
          <cell r="AA263">
            <v>1135212.3700000001</v>
          </cell>
          <cell r="AB263">
            <v>67179.62</v>
          </cell>
          <cell r="AC263">
            <v>14128.68</v>
          </cell>
          <cell r="AD263">
            <v>10521.23</v>
          </cell>
          <cell r="AE263">
            <v>2058.41</v>
          </cell>
          <cell r="AF263">
            <v>1122</v>
          </cell>
          <cell r="AG263">
            <v>6297.08</v>
          </cell>
          <cell r="AH263">
            <v>96176.8</v>
          </cell>
          <cell r="AI263">
            <v>5070.54</v>
          </cell>
          <cell r="AJ263">
            <v>1704.11</v>
          </cell>
          <cell r="AK263">
            <v>112971.5</v>
          </cell>
          <cell r="AL263">
            <v>1775.35</v>
          </cell>
          <cell r="AM263">
            <v>49750.93</v>
          </cell>
          <cell r="AN263">
            <v>10658.77</v>
          </cell>
          <cell r="AO263">
            <v>15698.14</v>
          </cell>
          <cell r="AP263">
            <v>5533.62</v>
          </cell>
          <cell r="AQ263">
            <v>4292.8100000000004</v>
          </cell>
          <cell r="AR263">
            <v>6631.85</v>
          </cell>
          <cell r="AS263">
            <v>1657</v>
          </cell>
          <cell r="AT263">
            <v>7439.38</v>
          </cell>
          <cell r="AU263">
            <v>17055.8</v>
          </cell>
          <cell r="AV263">
            <v>2583.09</v>
          </cell>
          <cell r="AW263">
            <v>-2415.1</v>
          </cell>
          <cell r="AX263">
            <v>129590.59</v>
          </cell>
          <cell r="AY263">
            <v>32820.36</v>
          </cell>
          <cell r="AZ263">
            <v>7870.25</v>
          </cell>
          <cell r="BA263">
            <v>19243.009999999998</v>
          </cell>
          <cell r="BB263">
            <v>1795.12</v>
          </cell>
          <cell r="BC263">
            <v>4020.95</v>
          </cell>
          <cell r="BD263">
            <v>1231.8499999999999</v>
          </cell>
          <cell r="BE263">
            <v>2290.9499999999998</v>
          </cell>
          <cell r="BF263">
            <v>55924.39</v>
          </cell>
          <cell r="BG263">
            <v>14378.89</v>
          </cell>
          <cell r="BH263">
            <v>13545.21</v>
          </cell>
          <cell r="BI263">
            <v>3404.04</v>
          </cell>
          <cell r="BJ263">
            <v>118306.73</v>
          </cell>
          <cell r="BK263">
            <v>43350.05</v>
          </cell>
          <cell r="BL263">
            <v>13747.43</v>
          </cell>
          <cell r="BM263">
            <v>9129.11</v>
          </cell>
          <cell r="BN263">
            <v>9494.82</v>
          </cell>
          <cell r="BO263">
            <v>2919.86</v>
          </cell>
          <cell r="BP263">
            <v>1040.44</v>
          </cell>
          <cell r="BQ263">
            <v>-388.63</v>
          </cell>
          <cell r="BR263">
            <v>5085.68</v>
          </cell>
          <cell r="BS263">
            <v>3373.28</v>
          </cell>
          <cell r="BT263">
            <v>-284.25</v>
          </cell>
          <cell r="BU263">
            <v>6932.65</v>
          </cell>
          <cell r="BV263">
            <v>136641.88</v>
          </cell>
          <cell r="BW263">
            <v>51623.26</v>
          </cell>
          <cell r="BX263">
            <v>7159.89</v>
          </cell>
          <cell r="BY263">
            <v>6337.99</v>
          </cell>
          <cell r="BZ263">
            <v>21381.41</v>
          </cell>
          <cell r="CA263">
            <v>2626.93</v>
          </cell>
          <cell r="CB263">
            <v>6376.55</v>
          </cell>
          <cell r="CC263">
            <v>7477.61</v>
          </cell>
          <cell r="CD263">
            <v>7493.89</v>
          </cell>
          <cell r="CE263">
            <v>2497.8200000000002</v>
          </cell>
          <cell r="CF263">
            <v>2563.13</v>
          </cell>
          <cell r="CG263">
            <v>18377.38</v>
          </cell>
          <cell r="CH263">
            <v>19356.02</v>
          </cell>
          <cell r="CI263">
            <v>155763.98000000001</v>
          </cell>
          <cell r="CJ263">
            <v>566.51</v>
          </cell>
          <cell r="CK263">
            <v>10848.11</v>
          </cell>
          <cell r="CL263">
            <v>13076.58</v>
          </cell>
          <cell r="CM263">
            <v>4407.54</v>
          </cell>
          <cell r="CN263">
            <v>5486.93</v>
          </cell>
          <cell r="CO263">
            <v>10558.41</v>
          </cell>
          <cell r="CP263">
            <v>5436.02</v>
          </cell>
          <cell r="CQ263">
            <v>1639.69</v>
          </cell>
          <cell r="CR263">
            <v>1509</v>
          </cell>
          <cell r="CS263">
            <v>1355.7</v>
          </cell>
          <cell r="CT263">
            <v>143490.14000000001</v>
          </cell>
          <cell r="CU263">
            <v>36021.599999999999</v>
          </cell>
          <cell r="CV263">
            <v>3517.29</v>
          </cell>
          <cell r="CW263">
            <v>1602.17</v>
          </cell>
          <cell r="CX263">
            <v>3080.87</v>
          </cell>
          <cell r="CY263">
            <v>974.3</v>
          </cell>
          <cell r="CZ263">
            <v>24720.18</v>
          </cell>
          <cell r="DA263">
            <v>1137.5899999999999</v>
          </cell>
          <cell r="DB263">
            <v>8636.9599999999991</v>
          </cell>
          <cell r="DC263">
            <v>12522.75</v>
          </cell>
          <cell r="DD263">
            <v>18436.04</v>
          </cell>
          <cell r="DE263">
            <v>2419.89</v>
          </cell>
          <cell r="DF263">
            <v>14417.92</v>
          </cell>
          <cell r="DG263">
            <v>144629.6</v>
          </cell>
          <cell r="DH263">
            <v>236095.56</v>
          </cell>
        </row>
        <row r="264">
          <cell r="A264" t="str">
            <v>6710060</v>
          </cell>
          <cell r="B264" t="str">
            <v>6710060</v>
          </cell>
          <cell r="C264" t="str">
            <v>Rent-Vehicle</v>
          </cell>
          <cell r="AE264">
            <v>0</v>
          </cell>
          <cell r="AF264">
            <v>151.84</v>
          </cell>
          <cell r="AG264">
            <v>0</v>
          </cell>
          <cell r="AH264">
            <v>0</v>
          </cell>
          <cell r="AI264">
            <v>0</v>
          </cell>
          <cell r="AJ264">
            <v>0</v>
          </cell>
          <cell r="AK264">
            <v>152.44</v>
          </cell>
          <cell r="AL264">
            <v>0</v>
          </cell>
          <cell r="AM264">
            <v>0</v>
          </cell>
          <cell r="AN264">
            <v>0</v>
          </cell>
          <cell r="AO264">
            <v>0</v>
          </cell>
          <cell r="AP264">
            <v>0</v>
          </cell>
          <cell r="AQ264">
            <v>0</v>
          </cell>
          <cell r="AR264">
            <v>0</v>
          </cell>
          <cell r="AS264">
            <v>10.88</v>
          </cell>
          <cell r="AT264">
            <v>159.63</v>
          </cell>
          <cell r="AU264">
            <v>0</v>
          </cell>
          <cell r="AV264">
            <v>0</v>
          </cell>
          <cell r="AW264">
            <v>0</v>
          </cell>
          <cell r="AX264">
            <v>84.19</v>
          </cell>
          <cell r="AY264">
            <v>161.05000000000001</v>
          </cell>
          <cell r="AZ264">
            <v>0</v>
          </cell>
          <cell r="BA264">
            <v>0</v>
          </cell>
          <cell r="BB264">
            <v>0</v>
          </cell>
          <cell r="BC264">
            <v>202.57</v>
          </cell>
          <cell r="BD264">
            <v>0</v>
          </cell>
          <cell r="BE264">
            <v>394</v>
          </cell>
          <cell r="BF264">
            <v>0</v>
          </cell>
          <cell r="BG264">
            <v>322.27</v>
          </cell>
          <cell r="BH264">
            <v>0</v>
          </cell>
          <cell r="BI264">
            <v>0</v>
          </cell>
          <cell r="BJ264">
            <v>0</v>
          </cell>
          <cell r="BK264">
            <v>0</v>
          </cell>
          <cell r="BL264">
            <v>0</v>
          </cell>
          <cell r="BM264">
            <v>0</v>
          </cell>
          <cell r="BN264">
            <v>0</v>
          </cell>
          <cell r="BO264">
            <v>0</v>
          </cell>
          <cell r="BP264">
            <v>0</v>
          </cell>
          <cell r="BQ264">
            <v>0</v>
          </cell>
          <cell r="BR264">
            <v>0</v>
          </cell>
          <cell r="BS264">
            <v>475.26</v>
          </cell>
          <cell r="BT264">
            <v>27.49</v>
          </cell>
          <cell r="BU264">
            <v>629.82000000000005</v>
          </cell>
          <cell r="BV264">
            <v>536.71</v>
          </cell>
          <cell r="BW264">
            <v>460.42</v>
          </cell>
          <cell r="BX264">
            <v>0</v>
          </cell>
          <cell r="BY264">
            <v>573.94000000000005</v>
          </cell>
          <cell r="BZ264">
            <v>432.4</v>
          </cell>
          <cell r="CA264">
            <v>114.05</v>
          </cell>
          <cell r="CB264">
            <v>0</v>
          </cell>
          <cell r="CC264">
            <v>2622.21</v>
          </cell>
          <cell r="CD264">
            <v>3262.12</v>
          </cell>
          <cell r="CE264">
            <v>1357.45</v>
          </cell>
          <cell r="CF264">
            <v>0</v>
          </cell>
          <cell r="CG264">
            <v>0</v>
          </cell>
          <cell r="CH264">
            <v>101</v>
          </cell>
          <cell r="CI264">
            <v>0</v>
          </cell>
          <cell r="CJ264">
            <v>156.19999999999999</v>
          </cell>
          <cell r="CK264">
            <v>0</v>
          </cell>
          <cell r="CL264">
            <v>0</v>
          </cell>
          <cell r="CM264">
            <v>0</v>
          </cell>
          <cell r="CN264">
            <v>0</v>
          </cell>
          <cell r="CO264">
            <v>0</v>
          </cell>
          <cell r="CP264">
            <v>0</v>
          </cell>
          <cell r="CQ264">
            <v>0</v>
          </cell>
          <cell r="CR264">
            <v>70.02</v>
          </cell>
          <cell r="CS264">
            <v>0</v>
          </cell>
          <cell r="CT264">
            <v>0</v>
          </cell>
          <cell r="CU264">
            <v>0</v>
          </cell>
          <cell r="CV264">
            <v>0</v>
          </cell>
          <cell r="CW264">
            <v>0</v>
          </cell>
          <cell r="CX264">
            <v>0</v>
          </cell>
          <cell r="CY264">
            <v>27</v>
          </cell>
          <cell r="CZ264">
            <v>0</v>
          </cell>
          <cell r="DA264">
            <v>0</v>
          </cell>
          <cell r="DB264">
            <v>0</v>
          </cell>
          <cell r="DC264">
            <v>4.0599999999999996</v>
          </cell>
          <cell r="DD264">
            <v>100</v>
          </cell>
          <cell r="DE264">
            <v>227</v>
          </cell>
          <cell r="DF264">
            <v>77.72</v>
          </cell>
          <cell r="DG264">
            <v>0</v>
          </cell>
          <cell r="DH264">
            <v>435.78</v>
          </cell>
        </row>
        <row r="265">
          <cell r="A265" t="str">
            <v>6710700</v>
          </cell>
          <cell r="B265" t="str">
            <v>6710700</v>
          </cell>
          <cell r="C265" t="str">
            <v>Rent-Intercompany</v>
          </cell>
          <cell r="D265">
            <v>39564</v>
          </cell>
          <cell r="E265">
            <v>39564</v>
          </cell>
          <cell r="F265">
            <v>39564</v>
          </cell>
          <cell r="G265">
            <v>39564</v>
          </cell>
          <cell r="H265">
            <v>39564</v>
          </cell>
          <cell r="I265">
            <v>38709</v>
          </cell>
          <cell r="J265">
            <v>38709</v>
          </cell>
          <cell r="K265">
            <v>38577</v>
          </cell>
          <cell r="L265">
            <v>38577</v>
          </cell>
          <cell r="M265">
            <v>38577</v>
          </cell>
          <cell r="N265">
            <v>38577</v>
          </cell>
          <cell r="O265">
            <v>38577</v>
          </cell>
          <cell r="P265">
            <v>31608</v>
          </cell>
          <cell r="Q265">
            <v>31608</v>
          </cell>
          <cell r="R265">
            <v>31608</v>
          </cell>
          <cell r="S265">
            <v>31608</v>
          </cell>
          <cell r="T265">
            <v>31608</v>
          </cell>
          <cell r="U265">
            <v>31608</v>
          </cell>
          <cell r="V265">
            <v>31608</v>
          </cell>
          <cell r="W265">
            <v>31608</v>
          </cell>
          <cell r="X265">
            <v>32587</v>
          </cell>
          <cell r="Y265">
            <v>32587</v>
          </cell>
          <cell r="Z265">
            <v>32587</v>
          </cell>
          <cell r="AA265">
            <v>32587</v>
          </cell>
          <cell r="AB265">
            <v>31083</v>
          </cell>
          <cell r="AC265">
            <v>31315</v>
          </cell>
          <cell r="AD265">
            <v>31315</v>
          </cell>
          <cell r="AE265">
            <v>31106.400000000001</v>
          </cell>
          <cell r="AF265">
            <v>31106.400000000001</v>
          </cell>
          <cell r="AG265">
            <v>31106.400000000001</v>
          </cell>
          <cell r="AH265">
            <v>31106.400000000001</v>
          </cell>
          <cell r="AI265">
            <v>31106.400000000001</v>
          </cell>
          <cell r="AJ265">
            <v>31106.400000000001</v>
          </cell>
          <cell r="AK265">
            <v>31106.400000000001</v>
          </cell>
          <cell r="AL265">
            <v>31315.38</v>
          </cell>
          <cell r="AM265">
            <v>31315.38</v>
          </cell>
          <cell r="AN265">
            <v>37688.89</v>
          </cell>
          <cell r="AO265">
            <v>37688.89</v>
          </cell>
          <cell r="AP265">
            <v>37688.89</v>
          </cell>
          <cell r="AQ265">
            <v>37688.89</v>
          </cell>
          <cell r="AR265">
            <v>37688.89</v>
          </cell>
          <cell r="AS265">
            <v>37688.89</v>
          </cell>
          <cell r="AT265">
            <v>37688.89</v>
          </cell>
          <cell r="AU265">
            <v>37688.89</v>
          </cell>
          <cell r="AV265">
            <v>37688.89</v>
          </cell>
          <cell r="AW265">
            <v>37688.89</v>
          </cell>
          <cell r="AX265">
            <v>37688.89</v>
          </cell>
          <cell r="AY265">
            <v>37688.89</v>
          </cell>
          <cell r="AZ265">
            <v>36540.01</v>
          </cell>
          <cell r="BA265">
            <v>36540.01</v>
          </cell>
          <cell r="BB265">
            <v>36540.01</v>
          </cell>
          <cell r="BC265">
            <v>36540.01</v>
          </cell>
          <cell r="BD265">
            <v>36540.01</v>
          </cell>
          <cell r="BE265">
            <v>36540.01</v>
          </cell>
          <cell r="BF265">
            <v>36540.01</v>
          </cell>
          <cell r="BG265">
            <v>36540.01</v>
          </cell>
          <cell r="BH265">
            <v>36540.01</v>
          </cell>
          <cell r="BI265">
            <v>36540.01</v>
          </cell>
          <cell r="BJ265">
            <v>36540.01</v>
          </cell>
          <cell r="BK265">
            <v>36540.01</v>
          </cell>
          <cell r="BL265">
            <v>36897.919999999998</v>
          </cell>
          <cell r="BM265">
            <v>36897.919999999998</v>
          </cell>
          <cell r="BN265">
            <v>36897.919999999998</v>
          </cell>
          <cell r="BO265">
            <v>36897.919999999998</v>
          </cell>
          <cell r="BP265">
            <v>36897.919999999998</v>
          </cell>
          <cell r="BQ265">
            <v>36897.919999999998</v>
          </cell>
          <cell r="BR265">
            <v>36897.919999999998</v>
          </cell>
          <cell r="BS265">
            <v>36897.919999999998</v>
          </cell>
          <cell r="BT265">
            <v>36897.919999999998</v>
          </cell>
          <cell r="BU265">
            <v>36897.919999999998</v>
          </cell>
          <cell r="BV265">
            <v>36897.919999999998</v>
          </cell>
          <cell r="BW265">
            <v>36897.919999999998</v>
          </cell>
          <cell r="BX265">
            <v>44750.7</v>
          </cell>
          <cell r="BY265">
            <v>44750.7</v>
          </cell>
          <cell r="BZ265">
            <v>44750.7</v>
          </cell>
          <cell r="CA265">
            <v>44750.7</v>
          </cell>
          <cell r="CB265">
            <v>44750.7</v>
          </cell>
          <cell r="CC265">
            <v>44750.7</v>
          </cell>
          <cell r="CD265">
            <v>44750.7</v>
          </cell>
          <cell r="CE265">
            <v>44750.7</v>
          </cell>
          <cell r="CF265">
            <v>44750.7</v>
          </cell>
          <cell r="CG265">
            <v>44750.7</v>
          </cell>
          <cell r="CH265">
            <v>44750.7</v>
          </cell>
          <cell r="CI265">
            <v>44750.7</v>
          </cell>
          <cell r="CJ265">
            <v>37378</v>
          </cell>
          <cell r="CK265">
            <v>37378</v>
          </cell>
          <cell r="CL265">
            <v>62470</v>
          </cell>
          <cell r="CM265">
            <v>45742</v>
          </cell>
          <cell r="CN265">
            <v>45742</v>
          </cell>
          <cell r="CO265">
            <v>45742</v>
          </cell>
          <cell r="CP265">
            <v>45742</v>
          </cell>
          <cell r="CQ265">
            <v>45742</v>
          </cell>
          <cell r="CR265">
            <v>45742</v>
          </cell>
          <cell r="CS265">
            <v>45742</v>
          </cell>
          <cell r="CT265">
            <v>45742</v>
          </cell>
          <cell r="CU265">
            <v>45742</v>
          </cell>
          <cell r="CV265">
            <v>45742</v>
          </cell>
          <cell r="CW265">
            <v>45742</v>
          </cell>
          <cell r="CX265">
            <v>45742</v>
          </cell>
          <cell r="CY265">
            <v>45742</v>
          </cell>
          <cell r="CZ265">
            <v>45742</v>
          </cell>
          <cell r="DA265">
            <v>45742</v>
          </cell>
          <cell r="DB265">
            <v>45742</v>
          </cell>
          <cell r="DC265">
            <v>45742</v>
          </cell>
          <cell r="DD265">
            <v>45742</v>
          </cell>
          <cell r="DE265">
            <v>45742</v>
          </cell>
          <cell r="DF265">
            <v>45742</v>
          </cell>
          <cell r="DG265">
            <v>45742</v>
          </cell>
          <cell r="DH265">
            <v>548904</v>
          </cell>
        </row>
        <row r="266">
          <cell r="A266" t="str">
            <v>6710800</v>
          </cell>
          <cell r="B266" t="str">
            <v>6710800</v>
          </cell>
          <cell r="C266" t="str">
            <v>Rent-Other</v>
          </cell>
          <cell r="D266">
            <v>1234.57</v>
          </cell>
          <cell r="E266">
            <v>2508.5500000000002</v>
          </cell>
          <cell r="F266">
            <v>889.77</v>
          </cell>
          <cell r="G266">
            <v>1711.53</v>
          </cell>
          <cell r="H266">
            <v>1109.3900000000001</v>
          </cell>
          <cell r="I266">
            <v>1056.22</v>
          </cell>
          <cell r="J266">
            <v>3792.89</v>
          </cell>
          <cell r="K266">
            <v>248.58</v>
          </cell>
          <cell r="L266">
            <v>996.35</v>
          </cell>
          <cell r="M266">
            <v>1770.18</v>
          </cell>
          <cell r="N266">
            <v>2681.29</v>
          </cell>
          <cell r="O266">
            <v>948.41</v>
          </cell>
          <cell r="P266">
            <v>1350.45</v>
          </cell>
          <cell r="Q266">
            <v>1095.32</v>
          </cell>
          <cell r="R266">
            <v>1626.23</v>
          </cell>
          <cell r="S266">
            <v>911.12</v>
          </cell>
          <cell r="T266">
            <v>4297.37</v>
          </cell>
          <cell r="U266">
            <v>2059.62</v>
          </cell>
          <cell r="V266">
            <v>2268.6999999999998</v>
          </cell>
          <cell r="W266">
            <v>541.9</v>
          </cell>
          <cell r="X266">
            <v>1774.02</v>
          </cell>
          <cell r="Y266">
            <v>3753.19</v>
          </cell>
          <cell r="Z266">
            <v>849.29</v>
          </cell>
          <cell r="AA266">
            <v>3419.06</v>
          </cell>
          <cell r="AB266">
            <v>1004.45</v>
          </cell>
          <cell r="AC266">
            <v>835.29</v>
          </cell>
          <cell r="AD266">
            <v>444.2</v>
          </cell>
          <cell r="AE266">
            <v>620.02</v>
          </cell>
          <cell r="AF266">
            <v>1199.71</v>
          </cell>
          <cell r="AG266">
            <v>1876.6</v>
          </cell>
          <cell r="AH266">
            <v>1670.98</v>
          </cell>
          <cell r="AI266">
            <v>2597.88</v>
          </cell>
          <cell r="AJ266">
            <v>929.78</v>
          </cell>
          <cell r="AK266">
            <v>938.91</v>
          </cell>
          <cell r="AL266">
            <v>1315.73</v>
          </cell>
          <cell r="AM266">
            <v>2869.84</v>
          </cell>
          <cell r="AN266">
            <v>2478.2399999999998</v>
          </cell>
          <cell r="AO266">
            <v>2001.41</v>
          </cell>
          <cell r="AP266">
            <v>7638.09</v>
          </cell>
          <cell r="AQ266">
            <v>2064.3200000000002</v>
          </cell>
          <cell r="AR266">
            <v>6701.37</v>
          </cell>
          <cell r="AS266">
            <v>1620.02</v>
          </cell>
          <cell r="AT266">
            <v>3888.18</v>
          </cell>
          <cell r="AU266">
            <v>4527.17</v>
          </cell>
          <cell r="AV266">
            <v>1814.91</v>
          </cell>
          <cell r="AW266">
            <v>2770.1</v>
          </cell>
          <cell r="AX266">
            <v>1923.59</v>
          </cell>
          <cell r="AY266">
            <v>1204.8499999999999</v>
          </cell>
          <cell r="AZ266">
            <v>8206.7900000000009</v>
          </cell>
          <cell r="BA266">
            <v>3097.62</v>
          </cell>
          <cell r="BB266">
            <v>2929.7</v>
          </cell>
          <cell r="BC266">
            <v>1633.1</v>
          </cell>
          <cell r="BD266">
            <v>19319.169999999998</v>
          </cell>
          <cell r="BE266">
            <v>1154.08</v>
          </cell>
          <cell r="BF266">
            <v>1429.6</v>
          </cell>
          <cell r="BG266">
            <v>4408.5200000000004</v>
          </cell>
          <cell r="BH266">
            <v>1594.38</v>
          </cell>
          <cell r="BI266">
            <v>1292.47</v>
          </cell>
          <cell r="BJ266">
            <v>5010.0200000000004</v>
          </cell>
          <cell r="BK266">
            <v>1793.08</v>
          </cell>
          <cell r="BL266">
            <v>8068.35</v>
          </cell>
          <cell r="BM266">
            <v>1110.8399999999999</v>
          </cell>
          <cell r="BN266">
            <v>874.72</v>
          </cell>
          <cell r="BO266">
            <v>-84.61</v>
          </cell>
          <cell r="BP266">
            <v>1130.43</v>
          </cell>
          <cell r="BQ266">
            <v>1108.3800000000001</v>
          </cell>
          <cell r="BR266">
            <v>1012.83</v>
          </cell>
          <cell r="BS266">
            <v>1372.55</v>
          </cell>
          <cell r="BT266">
            <v>1364.22</v>
          </cell>
          <cell r="BU266">
            <v>1747.61</v>
          </cell>
          <cell r="BV266">
            <v>1482.04</v>
          </cell>
          <cell r="BW266">
            <v>1265.5999999999999</v>
          </cell>
          <cell r="BX266">
            <v>1158.72</v>
          </cell>
          <cell r="BY266">
            <v>890.25</v>
          </cell>
          <cell r="BZ266">
            <v>801.28</v>
          </cell>
          <cell r="CA266">
            <v>588.70000000000005</v>
          </cell>
          <cell r="CB266">
            <v>1344.31</v>
          </cell>
          <cell r="CC266">
            <v>658.07</v>
          </cell>
          <cell r="CD266">
            <v>306.44</v>
          </cell>
          <cell r="CE266">
            <v>840.03</v>
          </cell>
          <cell r="CF266">
            <v>3365.92</v>
          </cell>
          <cell r="CG266">
            <v>1255.9100000000001</v>
          </cell>
          <cell r="CH266">
            <v>737.32</v>
          </cell>
          <cell r="CI266">
            <v>860.52</v>
          </cell>
          <cell r="CJ266">
            <v>7902.99</v>
          </cell>
          <cell r="CK266">
            <v>1894.09</v>
          </cell>
          <cell r="CL266">
            <v>1204.1300000000001</v>
          </cell>
          <cell r="CM266">
            <v>2359.84</v>
          </cell>
          <cell r="CN266">
            <v>1801.75</v>
          </cell>
          <cell r="CO266">
            <v>884.67</v>
          </cell>
          <cell r="CP266">
            <v>714.64</v>
          </cell>
          <cell r="CQ266">
            <v>1616.17</v>
          </cell>
          <cell r="CR266">
            <v>3394.57</v>
          </cell>
          <cell r="CS266">
            <v>348.98</v>
          </cell>
          <cell r="CT266">
            <v>1659.99</v>
          </cell>
          <cell r="CU266">
            <v>1271.46</v>
          </cell>
          <cell r="CV266">
            <v>1575.27</v>
          </cell>
          <cell r="CW266">
            <v>2703.78</v>
          </cell>
          <cell r="CX266">
            <v>1204.78</v>
          </cell>
          <cell r="CY266">
            <v>3506.96</v>
          </cell>
          <cell r="CZ266">
            <v>3367.3</v>
          </cell>
          <cell r="DA266">
            <v>3751.11</v>
          </cell>
          <cell r="DB266">
            <v>1733.92</v>
          </cell>
          <cell r="DC266">
            <v>1388.56</v>
          </cell>
          <cell r="DD266">
            <v>3724.09</v>
          </cell>
          <cell r="DE266">
            <v>5536.91</v>
          </cell>
          <cell r="DF266">
            <v>5710.19</v>
          </cell>
          <cell r="DG266">
            <v>1831.06</v>
          </cell>
          <cell r="DH266">
            <v>36033.93</v>
          </cell>
        </row>
        <row r="267">
          <cell r="A267" t="str">
            <v>6719000</v>
          </cell>
          <cell r="B267" t="str">
            <v>6719000</v>
          </cell>
          <cell r="C267" t="str">
            <v>Rent to BalSheet</v>
          </cell>
          <cell r="D267">
            <v>0</v>
          </cell>
          <cell r="E267">
            <v>0</v>
          </cell>
          <cell r="F267">
            <v>0</v>
          </cell>
          <cell r="G267">
            <v>0</v>
          </cell>
          <cell r="H267">
            <v>-40</v>
          </cell>
          <cell r="I267">
            <v>-203.5</v>
          </cell>
          <cell r="J267">
            <v>-235.7</v>
          </cell>
          <cell r="K267">
            <v>-11081.59</v>
          </cell>
          <cell r="L267">
            <v>-311.39999999999998</v>
          </cell>
          <cell r="M267">
            <v>-507.92</v>
          </cell>
          <cell r="N267">
            <v>0</v>
          </cell>
          <cell r="O267">
            <v>-231.15</v>
          </cell>
          <cell r="P267">
            <v>-195.21</v>
          </cell>
          <cell r="Q267">
            <v>-89.9</v>
          </cell>
          <cell r="R267">
            <v>-80.7</v>
          </cell>
          <cell r="S267">
            <v>-171.3</v>
          </cell>
          <cell r="T267">
            <v>-366.8</v>
          </cell>
          <cell r="U267">
            <v>-295.55</v>
          </cell>
          <cell r="V267">
            <v>-390.11</v>
          </cell>
          <cell r="W267">
            <v>-219.8</v>
          </cell>
          <cell r="X267">
            <v>-588.89</v>
          </cell>
          <cell r="Y267">
            <v>-665.2</v>
          </cell>
          <cell r="Z267">
            <v>-5704.26</v>
          </cell>
          <cell r="AA267">
            <v>-1128933.93</v>
          </cell>
          <cell r="AB267">
            <v>-31040.9</v>
          </cell>
          <cell r="AC267">
            <v>-3932.12</v>
          </cell>
          <cell r="AD267">
            <v>-230.8</v>
          </cell>
          <cell r="AE267">
            <v>-229</v>
          </cell>
          <cell r="AF267">
            <v>0</v>
          </cell>
          <cell r="AG267">
            <v>-973.01</v>
          </cell>
          <cell r="AH267">
            <v>-95072.9</v>
          </cell>
          <cell r="AI267">
            <v>-2565.0500000000002</v>
          </cell>
          <cell r="AJ267">
            <v>-179.8</v>
          </cell>
          <cell r="AK267">
            <v>-252.7</v>
          </cell>
          <cell r="AL267">
            <v>-539.54999999999995</v>
          </cell>
          <cell r="AM267">
            <v>0</v>
          </cell>
          <cell r="AN267">
            <v>-5163.87</v>
          </cell>
          <cell r="AO267">
            <v>0</v>
          </cell>
          <cell r="AP267">
            <v>-4936.9799999999996</v>
          </cell>
          <cell r="AQ267">
            <v>-846.65</v>
          </cell>
          <cell r="AR267">
            <v>-8719.7199999999993</v>
          </cell>
          <cell r="AS267">
            <v>-301.89999999999998</v>
          </cell>
          <cell r="AT267">
            <v>-5419.98</v>
          </cell>
          <cell r="AU267">
            <v>-1791.13</v>
          </cell>
          <cell r="AV267">
            <v>37.840000000000003</v>
          </cell>
          <cell r="AW267">
            <v>-364.15</v>
          </cell>
          <cell r="AX267">
            <v>-1479.05</v>
          </cell>
          <cell r="AY267">
            <v>-1105.68</v>
          </cell>
          <cell r="AZ267">
            <v>-4494.33</v>
          </cell>
          <cell r="BA267">
            <v>-3427.11</v>
          </cell>
          <cell r="BB267">
            <v>-1250.0999999999999</v>
          </cell>
          <cell r="BC267">
            <v>-996.69</v>
          </cell>
          <cell r="BD267">
            <v>-18154.7</v>
          </cell>
          <cell r="BE267">
            <v>0</v>
          </cell>
          <cell r="BF267">
            <v>-53260.3</v>
          </cell>
          <cell r="BG267">
            <v>-2963</v>
          </cell>
          <cell r="BH267">
            <v>-721</v>
          </cell>
          <cell r="BI267">
            <v>-301.87</v>
          </cell>
          <cell r="BJ267">
            <v>-3799.5</v>
          </cell>
          <cell r="BK267">
            <v>-1139.0999999999999</v>
          </cell>
          <cell r="BL267">
            <v>-6737.08</v>
          </cell>
          <cell r="BM267">
            <v>-220.5</v>
          </cell>
          <cell r="BN267">
            <v>-81.400000000000006</v>
          </cell>
          <cell r="BO267">
            <v>959.3</v>
          </cell>
          <cell r="BP267">
            <v>-925.2</v>
          </cell>
          <cell r="BQ267">
            <v>-132.6</v>
          </cell>
          <cell r="BR267">
            <v>-714.98</v>
          </cell>
          <cell r="BS267">
            <v>-824.29</v>
          </cell>
          <cell r="BT267">
            <v>-535.09</v>
          </cell>
          <cell r="BU267">
            <v>-576.49</v>
          </cell>
          <cell r="BV267">
            <v>-1996.59</v>
          </cell>
          <cell r="BW267">
            <v>-1331.79</v>
          </cell>
          <cell r="BX267">
            <v>-1838.9</v>
          </cell>
          <cell r="BY267">
            <v>-1369.32</v>
          </cell>
          <cell r="BZ267">
            <v>-2135.58</v>
          </cell>
          <cell r="CA267">
            <v>-1674.81</v>
          </cell>
          <cell r="CB267">
            <v>-1110.5</v>
          </cell>
          <cell r="CC267">
            <v>-903.63</v>
          </cell>
          <cell r="CD267">
            <v>-1329.93</v>
          </cell>
          <cell r="CE267">
            <v>-1117.1300000000001</v>
          </cell>
          <cell r="CF267">
            <v>-3867.77</v>
          </cell>
          <cell r="CG267">
            <v>-3634.47</v>
          </cell>
          <cell r="CH267">
            <v>-1297.9000000000001</v>
          </cell>
          <cell r="CI267">
            <v>-731.46</v>
          </cell>
          <cell r="CJ267">
            <v>-6753.53</v>
          </cell>
          <cell r="CK267">
            <v>-164.73</v>
          </cell>
          <cell r="CL267">
            <v>-447.7</v>
          </cell>
          <cell r="CM267">
            <v>-1104.9000000000001</v>
          </cell>
          <cell r="CN267">
            <v>-480.1</v>
          </cell>
          <cell r="CO267">
            <v>-673.8</v>
          </cell>
          <cell r="CP267">
            <v>-807.8</v>
          </cell>
          <cell r="CQ267">
            <v>-350.9</v>
          </cell>
          <cell r="CR267">
            <v>-943.6</v>
          </cell>
          <cell r="CS267">
            <v>-999.9</v>
          </cell>
          <cell r="CT267">
            <v>-709.75</v>
          </cell>
          <cell r="CU267">
            <v>-700.7</v>
          </cell>
          <cell r="CV267">
            <v>-1053.5999999999999</v>
          </cell>
          <cell r="CW267">
            <v>-1025.8</v>
          </cell>
          <cell r="CX267">
            <v>-423.3</v>
          </cell>
          <cell r="CY267">
            <v>-761.3</v>
          </cell>
          <cell r="CZ267">
            <v>-916.6</v>
          </cell>
          <cell r="DA267">
            <v>-526.70000000000005</v>
          </cell>
          <cell r="DB267">
            <v>-858.4</v>
          </cell>
          <cell r="DC267">
            <v>-728.05</v>
          </cell>
          <cell r="DD267">
            <v>-919.19</v>
          </cell>
          <cell r="DE267">
            <v>-615.79999999999995</v>
          </cell>
          <cell r="DF267">
            <v>-605.20000000000005</v>
          </cell>
          <cell r="DG267">
            <v>-255.75</v>
          </cell>
          <cell r="DH267">
            <v>-8689.69</v>
          </cell>
        </row>
        <row r="268">
          <cell r="A268" t="str">
            <v>6720010</v>
          </cell>
          <cell r="B268" t="str">
            <v>6720010</v>
          </cell>
          <cell r="C268" t="str">
            <v>Lease-Building</v>
          </cell>
          <cell r="D268">
            <v>30744.87</v>
          </cell>
          <cell r="E268">
            <v>26649.51</v>
          </cell>
          <cell r="F268">
            <v>21204.15</v>
          </cell>
          <cell r="G268">
            <v>32094.87</v>
          </cell>
          <cell r="H268">
            <v>21204.15</v>
          </cell>
          <cell r="I268">
            <v>26649.51</v>
          </cell>
          <cell r="J268">
            <v>26649.51</v>
          </cell>
          <cell r="K268">
            <v>21362.76</v>
          </cell>
          <cell r="L268">
            <v>21204.15</v>
          </cell>
          <cell r="M268">
            <v>30816.87</v>
          </cell>
          <cell r="N268">
            <v>25371.51</v>
          </cell>
          <cell r="O268">
            <v>32421.57</v>
          </cell>
          <cell r="P268">
            <v>18015.38</v>
          </cell>
          <cell r="Q268">
            <v>44183.54</v>
          </cell>
          <cell r="R268">
            <v>34288.94</v>
          </cell>
          <cell r="S268">
            <v>24321.79</v>
          </cell>
          <cell r="T268">
            <v>23624.09</v>
          </cell>
          <cell r="U268">
            <v>16665.38</v>
          </cell>
          <cell r="V268">
            <v>32132.799999999999</v>
          </cell>
          <cell r="W268">
            <v>22274.09</v>
          </cell>
          <cell r="X268">
            <v>24384.25</v>
          </cell>
          <cell r="Y268">
            <v>18831.18</v>
          </cell>
          <cell r="Z268">
            <v>24539.89</v>
          </cell>
          <cell r="AA268">
            <v>28698.6</v>
          </cell>
          <cell r="AB268">
            <v>25985.14</v>
          </cell>
          <cell r="AC268">
            <v>24727.15</v>
          </cell>
          <cell r="AD268">
            <v>24727.15</v>
          </cell>
          <cell r="AE268">
            <v>24727.15</v>
          </cell>
          <cell r="AF268">
            <v>24727.15</v>
          </cell>
          <cell r="AG268">
            <v>33412.43</v>
          </cell>
          <cell r="AH268">
            <v>26020.7</v>
          </cell>
          <cell r="AI268">
            <v>26020.7</v>
          </cell>
          <cell r="AJ268">
            <v>26020.7</v>
          </cell>
          <cell r="AK268">
            <v>26020.7</v>
          </cell>
          <cell r="AL268">
            <v>26209.52</v>
          </cell>
          <cell r="AM268">
            <v>19119.419999999998</v>
          </cell>
          <cell r="AN268">
            <v>37508.769999999997</v>
          </cell>
          <cell r="AO268">
            <v>28912.639999999999</v>
          </cell>
          <cell r="AP268">
            <v>29697.42</v>
          </cell>
          <cell r="AQ268">
            <v>29944.81</v>
          </cell>
          <cell r="AR268">
            <v>29816.33</v>
          </cell>
          <cell r="AS268">
            <v>29816.33</v>
          </cell>
          <cell r="AT268">
            <v>29816.33</v>
          </cell>
          <cell r="AU268">
            <v>29816.33</v>
          </cell>
          <cell r="AV268">
            <v>29816.33</v>
          </cell>
          <cell r="AW268">
            <v>29816.33</v>
          </cell>
          <cell r="AX268">
            <v>30005.13</v>
          </cell>
          <cell r="AY268">
            <v>21778.240000000002</v>
          </cell>
          <cell r="AZ268">
            <v>37307.980000000003</v>
          </cell>
          <cell r="BA268">
            <v>27701.82</v>
          </cell>
          <cell r="BB268">
            <v>29318.71</v>
          </cell>
          <cell r="BC268">
            <v>29479.119999999999</v>
          </cell>
          <cell r="BD268">
            <v>29479.119999999999</v>
          </cell>
          <cell r="BE268">
            <v>29479.119999999999</v>
          </cell>
          <cell r="BF268">
            <v>29479.119999999999</v>
          </cell>
          <cell r="BG268">
            <v>29479.119999999999</v>
          </cell>
          <cell r="BH268">
            <v>22757.200000000001</v>
          </cell>
          <cell r="BI268">
            <v>36201.040000000001</v>
          </cell>
          <cell r="BJ268">
            <v>29658.69</v>
          </cell>
          <cell r="BK268">
            <v>29640.560000000001</v>
          </cell>
          <cell r="BL268">
            <v>27564.79</v>
          </cell>
          <cell r="BM268">
            <v>21935.87</v>
          </cell>
          <cell r="BN268">
            <v>28884.34</v>
          </cell>
          <cell r="BO268">
            <v>35832.81</v>
          </cell>
          <cell r="BP268">
            <v>28884.34</v>
          </cell>
          <cell r="BQ268">
            <v>28884.34</v>
          </cell>
          <cell r="BR268">
            <v>28884.34</v>
          </cell>
          <cell r="BS268">
            <v>28884.34</v>
          </cell>
          <cell r="BT268">
            <v>28884.34</v>
          </cell>
          <cell r="BU268">
            <v>28884.34</v>
          </cell>
          <cell r="BV268">
            <v>21935.87</v>
          </cell>
          <cell r="BW268">
            <v>35089.97</v>
          </cell>
          <cell r="BX268">
            <v>41663.120000000003</v>
          </cell>
          <cell r="BY268">
            <v>42749.48</v>
          </cell>
          <cell r="BZ268">
            <v>37666.129999999997</v>
          </cell>
          <cell r="CA268">
            <v>35636.910000000003</v>
          </cell>
          <cell r="CB268">
            <v>28366.76</v>
          </cell>
          <cell r="CC268">
            <v>42907.06</v>
          </cell>
          <cell r="CD268">
            <v>35636.910000000003</v>
          </cell>
          <cell r="CE268">
            <v>35636.910000000003</v>
          </cell>
          <cell r="CF268">
            <v>35636.910000000003</v>
          </cell>
          <cell r="CG268">
            <v>35740.44</v>
          </cell>
          <cell r="CH268">
            <v>34740.44</v>
          </cell>
          <cell r="CI268">
            <v>36740.44</v>
          </cell>
          <cell r="CJ268">
            <v>36526.44</v>
          </cell>
          <cell r="CK268">
            <v>29062.79</v>
          </cell>
          <cell r="CL268">
            <v>36526.44</v>
          </cell>
          <cell r="CM268">
            <v>44085.65</v>
          </cell>
          <cell r="CN268">
            <v>38467.800000000003</v>
          </cell>
          <cell r="CO268">
            <v>36372.080000000002</v>
          </cell>
          <cell r="CP268">
            <v>36372.080000000002</v>
          </cell>
          <cell r="CQ268">
            <v>36372.080000000002</v>
          </cell>
          <cell r="CR268">
            <v>28785.16</v>
          </cell>
          <cell r="CS268">
            <v>44338.34</v>
          </cell>
          <cell r="CT268">
            <v>35372.080000000002</v>
          </cell>
          <cell r="CU268">
            <v>37372.080000000002</v>
          </cell>
          <cell r="CV268">
            <v>28322.11</v>
          </cell>
          <cell r="CW268">
            <v>45199.99</v>
          </cell>
          <cell r="CX268">
            <v>36553.1</v>
          </cell>
          <cell r="CY268">
            <v>36594.080000000002</v>
          </cell>
          <cell r="CZ268">
            <v>36569.18</v>
          </cell>
          <cell r="DA268">
            <v>36569.18</v>
          </cell>
          <cell r="DB268">
            <v>36569.18</v>
          </cell>
          <cell r="DC268">
            <v>36569.18</v>
          </cell>
          <cell r="DD268">
            <v>36569.18</v>
          </cell>
          <cell r="DE268">
            <v>36569.18</v>
          </cell>
          <cell r="DF268">
            <v>36569.18</v>
          </cell>
          <cell r="DG268">
            <v>28785.16</v>
          </cell>
          <cell r="DH268">
            <v>431438.69999999995</v>
          </cell>
        </row>
        <row r="269">
          <cell r="A269" t="str">
            <v>6720020</v>
          </cell>
          <cell r="B269" t="str">
            <v>6720020</v>
          </cell>
          <cell r="C269" t="str">
            <v>Lease-NonOfficeEquip</v>
          </cell>
          <cell r="D269">
            <v>0</v>
          </cell>
          <cell r="E269">
            <v>0</v>
          </cell>
          <cell r="F269">
            <v>0</v>
          </cell>
          <cell r="G269">
            <v>0</v>
          </cell>
          <cell r="H269">
            <v>0</v>
          </cell>
          <cell r="I269">
            <v>0</v>
          </cell>
          <cell r="J269">
            <v>0</v>
          </cell>
          <cell r="K269">
            <v>0</v>
          </cell>
          <cell r="L269">
            <v>0</v>
          </cell>
          <cell r="M269">
            <v>18.739999999999998</v>
          </cell>
          <cell r="N269">
            <v>0</v>
          </cell>
          <cell r="O269">
            <v>0</v>
          </cell>
          <cell r="P269">
            <v>0</v>
          </cell>
          <cell r="Q269">
            <v>0</v>
          </cell>
          <cell r="R269">
            <v>233.74</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330.23</v>
          </cell>
          <cell r="AH269">
            <v>-330.23</v>
          </cell>
          <cell r="AI269">
            <v>0</v>
          </cell>
          <cell r="AJ269">
            <v>0</v>
          </cell>
          <cell r="AK269">
            <v>0</v>
          </cell>
          <cell r="AL269">
            <v>0</v>
          </cell>
          <cell r="AM269">
            <v>0</v>
          </cell>
          <cell r="AN269">
            <v>0</v>
          </cell>
          <cell r="AO269">
            <v>0</v>
          </cell>
          <cell r="AP269">
            <v>0</v>
          </cell>
          <cell r="AQ269">
            <v>0</v>
          </cell>
          <cell r="AR269">
            <v>35</v>
          </cell>
          <cell r="AS269">
            <v>-35</v>
          </cell>
          <cell r="AT269">
            <v>0</v>
          </cell>
          <cell r="AU269">
            <v>105</v>
          </cell>
          <cell r="AV269">
            <v>7.35</v>
          </cell>
          <cell r="AW269">
            <v>0</v>
          </cell>
          <cell r="AX269">
            <v>874.54</v>
          </cell>
          <cell r="AY269">
            <v>657.5</v>
          </cell>
          <cell r="AZ269">
            <v>93.63</v>
          </cell>
          <cell r="BA269">
            <v>17.5</v>
          </cell>
          <cell r="BB269">
            <v>594.38</v>
          </cell>
          <cell r="BC269">
            <v>-518.26</v>
          </cell>
          <cell r="BD269">
            <v>348.96</v>
          </cell>
          <cell r="BE269">
            <v>-119.28</v>
          </cell>
          <cell r="BF269">
            <v>2.4500000000000002</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row>
        <row r="270">
          <cell r="A270" t="str">
            <v>6720030</v>
          </cell>
          <cell r="B270" t="str">
            <v>6720030</v>
          </cell>
          <cell r="C270" t="str">
            <v>Lease-Office Equip</v>
          </cell>
          <cell r="D270">
            <v>11027.1</v>
          </cell>
          <cell r="E270">
            <v>25033.759999999998</v>
          </cell>
          <cell r="F270">
            <v>29946.22</v>
          </cell>
          <cell r="G270">
            <v>22146.45</v>
          </cell>
          <cell r="H270">
            <v>17937.240000000002</v>
          </cell>
          <cell r="I270">
            <v>30357.5</v>
          </cell>
          <cell r="J270">
            <v>2651</v>
          </cell>
          <cell r="K270">
            <v>12042.43</v>
          </cell>
          <cell r="L270">
            <v>12020.83</v>
          </cell>
          <cell r="M270">
            <v>11799.72</v>
          </cell>
          <cell r="N270">
            <v>19584.099999999999</v>
          </cell>
          <cell r="O270">
            <v>15559.54</v>
          </cell>
          <cell r="P270">
            <v>7301.85</v>
          </cell>
          <cell r="Q270">
            <v>18327.849999999999</v>
          </cell>
          <cell r="R270">
            <v>11306.07</v>
          </cell>
          <cell r="S270">
            <v>5162.2299999999996</v>
          </cell>
          <cell r="T270">
            <v>12835.51</v>
          </cell>
          <cell r="U270">
            <v>4973.37</v>
          </cell>
          <cell r="V270">
            <v>3051.82</v>
          </cell>
          <cell r="W270">
            <v>6342.26</v>
          </cell>
          <cell r="X270">
            <v>18675.77</v>
          </cell>
          <cell r="Y270">
            <v>3436.43</v>
          </cell>
          <cell r="Z270">
            <v>12093.9</v>
          </cell>
          <cell r="AA270">
            <v>3256.83</v>
          </cell>
          <cell r="AB270">
            <v>3520.97</v>
          </cell>
          <cell r="AC270">
            <v>11639.02</v>
          </cell>
          <cell r="AD270">
            <v>3374.66</v>
          </cell>
          <cell r="AE270">
            <v>-4943.5600000000004</v>
          </cell>
          <cell r="AF270">
            <v>9637.59</v>
          </cell>
          <cell r="AG270">
            <v>3177.66</v>
          </cell>
          <cell r="AH270">
            <v>10035.41</v>
          </cell>
          <cell r="AI270">
            <v>209.16</v>
          </cell>
          <cell r="AJ270">
            <v>1882.99</v>
          </cell>
          <cell r="AK270">
            <v>1566.97</v>
          </cell>
          <cell r="AL270">
            <v>2003.92</v>
          </cell>
          <cell r="AM270">
            <v>1882.99</v>
          </cell>
          <cell r="AN270">
            <v>2507.41</v>
          </cell>
          <cell r="AO270">
            <v>1936.27</v>
          </cell>
          <cell r="AP270">
            <v>2204.98</v>
          </cell>
          <cell r="AQ270">
            <v>2067.8000000000002</v>
          </cell>
          <cell r="AR270">
            <v>0</v>
          </cell>
          <cell r="AS270">
            <v>0</v>
          </cell>
          <cell r="AT270">
            <v>0</v>
          </cell>
          <cell r="AU270">
            <v>0</v>
          </cell>
          <cell r="AV270">
            <v>0</v>
          </cell>
          <cell r="AW270">
            <v>0</v>
          </cell>
          <cell r="AX270">
            <v>0</v>
          </cell>
          <cell r="AY270">
            <v>610.65</v>
          </cell>
          <cell r="AZ270">
            <v>173.1</v>
          </cell>
          <cell r="BA270">
            <v>23075.78</v>
          </cell>
          <cell r="BB270">
            <v>0</v>
          </cell>
          <cell r="BC270">
            <v>0</v>
          </cell>
          <cell r="BD270">
            <v>-1755.18</v>
          </cell>
          <cell r="BE270">
            <v>-26.45</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-549.45000000000005</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row>
        <row r="271">
          <cell r="A271" t="str">
            <v>6720050</v>
          </cell>
          <cell r="B271" t="str">
            <v>6720050</v>
          </cell>
          <cell r="C271" t="str">
            <v>Lease-Vehicle</v>
          </cell>
          <cell r="D271">
            <v>110.48</v>
          </cell>
          <cell r="E271">
            <v>181.95</v>
          </cell>
          <cell r="F271">
            <v>187.32</v>
          </cell>
          <cell r="G271">
            <v>216.4</v>
          </cell>
          <cell r="H271">
            <v>180.83</v>
          </cell>
          <cell r="I271">
            <v>370.03</v>
          </cell>
          <cell r="J271">
            <v>202.28</v>
          </cell>
          <cell r="K271">
            <v>110.48</v>
          </cell>
          <cell r="L271">
            <v>287.52</v>
          </cell>
          <cell r="M271">
            <v>110.48</v>
          </cell>
          <cell r="N271">
            <v>166.37</v>
          </cell>
          <cell r="O271">
            <v>226.68</v>
          </cell>
          <cell r="P271">
            <v>0</v>
          </cell>
          <cell r="Q271">
            <v>38.299999999999997</v>
          </cell>
          <cell r="R271">
            <v>0</v>
          </cell>
          <cell r="S271">
            <v>40.97</v>
          </cell>
          <cell r="T271">
            <v>332.81</v>
          </cell>
          <cell r="U271">
            <v>75.03</v>
          </cell>
          <cell r="V271">
            <v>94.46</v>
          </cell>
          <cell r="W271">
            <v>59.47</v>
          </cell>
          <cell r="X271">
            <v>46.72</v>
          </cell>
          <cell r="Y271">
            <v>0</v>
          </cell>
          <cell r="Z271">
            <v>0</v>
          </cell>
          <cell r="AA271">
            <v>57.95</v>
          </cell>
          <cell r="AB271">
            <v>335.98</v>
          </cell>
          <cell r="AC271">
            <v>377.18</v>
          </cell>
          <cell r="AD271">
            <v>364.8</v>
          </cell>
          <cell r="AE271">
            <v>146.49</v>
          </cell>
          <cell r="AF271">
            <v>150.6</v>
          </cell>
          <cell r="AG271">
            <v>111.21</v>
          </cell>
          <cell r="AH271">
            <v>111.21</v>
          </cell>
          <cell r="AI271">
            <v>111.21</v>
          </cell>
          <cell r="AJ271">
            <v>178.4</v>
          </cell>
          <cell r="AK271">
            <v>146.53</v>
          </cell>
          <cell r="AL271">
            <v>144.52000000000001</v>
          </cell>
          <cell r="AM271">
            <v>111.21</v>
          </cell>
          <cell r="AN271">
            <v>76.5</v>
          </cell>
          <cell r="AO271">
            <v>115.85</v>
          </cell>
          <cell r="AP271">
            <v>41.97</v>
          </cell>
          <cell r="AQ271">
            <v>53.5</v>
          </cell>
          <cell r="AR271">
            <v>37.549999999999997</v>
          </cell>
          <cell r="AS271">
            <v>50.44</v>
          </cell>
          <cell r="AT271">
            <v>195.45</v>
          </cell>
          <cell r="AU271">
            <v>78.14</v>
          </cell>
          <cell r="AV271">
            <v>0</v>
          </cell>
          <cell r="AW271">
            <v>0</v>
          </cell>
          <cell r="AX271">
            <v>56.64</v>
          </cell>
          <cell r="AY271">
            <v>68.8</v>
          </cell>
          <cell r="AZ271">
            <v>0</v>
          </cell>
          <cell r="BA271">
            <v>85.99</v>
          </cell>
          <cell r="BB271">
            <v>0</v>
          </cell>
          <cell r="BC271">
            <v>87.44</v>
          </cell>
          <cell r="BD271">
            <v>264.52</v>
          </cell>
          <cell r="BE271">
            <v>92.56</v>
          </cell>
          <cell r="BF271">
            <v>98.36</v>
          </cell>
          <cell r="BG271">
            <v>0</v>
          </cell>
          <cell r="BH271">
            <v>221.61</v>
          </cell>
          <cell r="BI271">
            <v>70.84</v>
          </cell>
          <cell r="BJ271">
            <v>109.95</v>
          </cell>
          <cell r="BK271">
            <v>74.709999999999994</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545.88</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row>
        <row r="272">
          <cell r="A272" t="str">
            <v>6720060</v>
          </cell>
          <cell r="B272" t="str">
            <v>6720060</v>
          </cell>
          <cell r="C272" t="str">
            <v>Long-term Lease - Variable Lease Expense</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row>
        <row r="273">
          <cell r="A273" t="str">
            <v>6720800</v>
          </cell>
          <cell r="B273" t="str">
            <v>6720800</v>
          </cell>
          <cell r="C273" t="str">
            <v>Lease-Other</v>
          </cell>
          <cell r="D273">
            <v>202.08</v>
          </cell>
          <cell r="E273">
            <v>0</v>
          </cell>
          <cell r="F273">
            <v>0</v>
          </cell>
          <cell r="G273">
            <v>202.08</v>
          </cell>
          <cell r="H273">
            <v>0</v>
          </cell>
          <cell r="I273">
            <v>0</v>
          </cell>
          <cell r="J273">
            <v>3894.52</v>
          </cell>
          <cell r="K273">
            <v>0</v>
          </cell>
          <cell r="L273">
            <v>0</v>
          </cell>
          <cell r="M273">
            <v>0</v>
          </cell>
          <cell r="N273">
            <v>1280.31</v>
          </cell>
          <cell r="O273">
            <v>2182.09</v>
          </cell>
          <cell r="P273">
            <v>1465.66</v>
          </cell>
          <cell r="Q273">
            <v>16.45</v>
          </cell>
          <cell r="R273">
            <v>1394.11</v>
          </cell>
          <cell r="S273">
            <v>67.67</v>
          </cell>
          <cell r="T273">
            <v>94.47</v>
          </cell>
          <cell r="U273">
            <v>0</v>
          </cell>
          <cell r="V273">
            <v>0</v>
          </cell>
          <cell r="W273">
            <v>0</v>
          </cell>
          <cell r="X273">
            <v>0</v>
          </cell>
          <cell r="Y273">
            <v>67.2</v>
          </cell>
          <cell r="Z273">
            <v>0</v>
          </cell>
          <cell r="AA273">
            <v>0</v>
          </cell>
          <cell r="AB273">
            <v>0</v>
          </cell>
          <cell r="AC273">
            <v>0</v>
          </cell>
          <cell r="AD273">
            <v>513.6</v>
          </cell>
          <cell r="AE273">
            <v>128.4</v>
          </cell>
          <cell r="AF273">
            <v>128.4</v>
          </cell>
          <cell r="AG273">
            <v>128.4</v>
          </cell>
          <cell r="AH273">
            <v>128.4</v>
          </cell>
          <cell r="AI273">
            <v>128.4</v>
          </cell>
          <cell r="AJ273">
            <v>128.4</v>
          </cell>
          <cell r="AK273">
            <v>128.4</v>
          </cell>
          <cell r="AL273">
            <v>893.4</v>
          </cell>
          <cell r="AM273">
            <v>181.95</v>
          </cell>
          <cell r="AN273">
            <v>128.4</v>
          </cell>
          <cell r="AO273">
            <v>128.4</v>
          </cell>
          <cell r="AP273">
            <v>493.08</v>
          </cell>
          <cell r="AQ273">
            <v>153.88</v>
          </cell>
          <cell r="AR273">
            <v>128.4</v>
          </cell>
          <cell r="AS273">
            <v>120</v>
          </cell>
          <cell r="AT273">
            <v>136.80000000000001</v>
          </cell>
          <cell r="AU273">
            <v>0</v>
          </cell>
          <cell r="AV273">
            <v>129</v>
          </cell>
          <cell r="AW273">
            <v>129</v>
          </cell>
          <cell r="AX273">
            <v>249.6</v>
          </cell>
          <cell r="AY273">
            <v>129</v>
          </cell>
          <cell r="AZ273">
            <v>129</v>
          </cell>
          <cell r="BA273">
            <v>329.55</v>
          </cell>
          <cell r="BB273">
            <v>382.46</v>
          </cell>
          <cell r="BC273">
            <v>314.07</v>
          </cell>
          <cell r="BD273">
            <v>2656.66</v>
          </cell>
          <cell r="BE273">
            <v>401.18</v>
          </cell>
          <cell r="BF273">
            <v>659.7</v>
          </cell>
          <cell r="BG273">
            <v>333.73</v>
          </cell>
          <cell r="BH273">
            <v>348.58</v>
          </cell>
          <cell r="BI273">
            <v>331.18</v>
          </cell>
          <cell r="BJ273">
            <v>-240</v>
          </cell>
          <cell r="BK273">
            <v>258</v>
          </cell>
          <cell r="BL273">
            <v>349</v>
          </cell>
          <cell r="BM273">
            <v>349</v>
          </cell>
          <cell r="BN273">
            <v>317.47000000000003</v>
          </cell>
          <cell r="BO273">
            <v>362.2</v>
          </cell>
          <cell r="BP273">
            <v>342.89</v>
          </cell>
          <cell r="BQ273">
            <v>349</v>
          </cell>
          <cell r="BR273">
            <v>362.58</v>
          </cell>
          <cell r="BS273">
            <v>129</v>
          </cell>
          <cell r="BT273">
            <v>593.30999999999995</v>
          </cell>
          <cell r="BU273">
            <v>865.34</v>
          </cell>
          <cell r="BV273">
            <v>344.3</v>
          </cell>
          <cell r="BW273">
            <v>387.29</v>
          </cell>
          <cell r="BX273">
            <v>369.01</v>
          </cell>
          <cell r="BY273">
            <v>360.01</v>
          </cell>
          <cell r="BZ273">
            <v>374.45</v>
          </cell>
          <cell r="CA273">
            <v>378.96</v>
          </cell>
          <cell r="CB273">
            <v>372.21</v>
          </cell>
          <cell r="CC273">
            <v>129</v>
          </cell>
          <cell r="CD273">
            <v>376.06</v>
          </cell>
          <cell r="CE273">
            <v>394.06</v>
          </cell>
          <cell r="CF273">
            <v>376.06</v>
          </cell>
          <cell r="CG273">
            <v>378.3</v>
          </cell>
          <cell r="CH273">
            <v>385.06</v>
          </cell>
          <cell r="CI273">
            <v>369.3</v>
          </cell>
          <cell r="CJ273">
            <v>376.06</v>
          </cell>
          <cell r="CK273">
            <v>376.06</v>
          </cell>
          <cell r="CL273">
            <v>421.01</v>
          </cell>
          <cell r="CM273">
            <v>405.45</v>
          </cell>
          <cell r="CN273">
            <v>407.31</v>
          </cell>
          <cell r="CO273">
            <v>294.45</v>
          </cell>
          <cell r="CP273">
            <v>278.31</v>
          </cell>
          <cell r="CQ273">
            <v>266.77</v>
          </cell>
          <cell r="CR273">
            <v>524.77</v>
          </cell>
          <cell r="CS273">
            <v>138.66999999999999</v>
          </cell>
          <cell r="CT273">
            <v>553.96</v>
          </cell>
          <cell r="CU273">
            <v>452.63</v>
          </cell>
          <cell r="CV273">
            <v>434.8</v>
          </cell>
          <cell r="CW273">
            <v>438.8</v>
          </cell>
          <cell r="CX273">
            <v>282.17</v>
          </cell>
          <cell r="CY273">
            <v>749.21</v>
          </cell>
          <cell r="CZ273">
            <v>1138.74</v>
          </cell>
          <cell r="DA273">
            <v>355.3</v>
          </cell>
          <cell r="DB273">
            <v>472.18</v>
          </cell>
          <cell r="DC273">
            <v>484.3</v>
          </cell>
          <cell r="DD273">
            <v>444.6</v>
          </cell>
          <cell r="DE273">
            <v>444.25</v>
          </cell>
          <cell r="DF273">
            <v>323.04000000000002</v>
          </cell>
          <cell r="DG273">
            <v>315.25</v>
          </cell>
          <cell r="DH273">
            <v>5882.64</v>
          </cell>
        </row>
        <row r="274">
          <cell r="A274" t="str">
            <v>6729000</v>
          </cell>
          <cell r="B274" t="str">
            <v>6729000</v>
          </cell>
          <cell r="C274" t="str">
            <v>Lease to BalSheet</v>
          </cell>
          <cell r="D274">
            <v>0</v>
          </cell>
          <cell r="E274">
            <v>0</v>
          </cell>
          <cell r="F274">
            <v>0</v>
          </cell>
          <cell r="G274">
            <v>0</v>
          </cell>
          <cell r="H274">
            <v>0</v>
          </cell>
          <cell r="I274">
            <v>0</v>
          </cell>
          <cell r="J274">
            <v>-3894.52</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1</v>
          </cell>
          <cell r="AC274">
            <v>2</v>
          </cell>
          <cell r="AD274">
            <v>3</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-8.4</v>
          </cell>
          <cell r="BB274">
            <v>-240</v>
          </cell>
          <cell r="BC274">
            <v>0</v>
          </cell>
          <cell r="BD274">
            <v>0</v>
          </cell>
          <cell r="BE274">
            <v>0</v>
          </cell>
          <cell r="BF274">
            <v>0</v>
          </cell>
          <cell r="BG274">
            <v>0</v>
          </cell>
          <cell r="BH274">
            <v>0</v>
          </cell>
          <cell r="BI274">
            <v>8.4</v>
          </cell>
          <cell r="BJ274">
            <v>240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row>
        <row r="275">
          <cell r="A275" t="str">
            <v>6730010</v>
          </cell>
          <cell r="B275" t="str">
            <v>6730010</v>
          </cell>
          <cell r="C275" t="str">
            <v>Utilities-Electricty</v>
          </cell>
          <cell r="D275">
            <v>38582.300000000003</v>
          </cell>
          <cell r="E275">
            <v>32458.61</v>
          </cell>
          <cell r="F275">
            <v>27738.880000000001</v>
          </cell>
          <cell r="G275">
            <v>2077.59</v>
          </cell>
          <cell r="H275">
            <v>44902.23</v>
          </cell>
          <cell r="I275">
            <v>28939.01</v>
          </cell>
          <cell r="J275">
            <v>52039.06</v>
          </cell>
          <cell r="K275">
            <v>39061.370000000003</v>
          </cell>
          <cell r="L275">
            <v>27598.14</v>
          </cell>
          <cell r="M275">
            <v>56319.28</v>
          </cell>
          <cell r="N275">
            <v>19776.62</v>
          </cell>
          <cell r="O275">
            <v>39070.19</v>
          </cell>
          <cell r="P275">
            <v>38729.360000000001</v>
          </cell>
          <cell r="Q275">
            <v>26891.119999999999</v>
          </cell>
          <cell r="R275">
            <v>39443.61</v>
          </cell>
          <cell r="S275">
            <v>30166.3</v>
          </cell>
          <cell r="T275">
            <v>22979.96</v>
          </cell>
          <cell r="U275">
            <v>46305.95</v>
          </cell>
          <cell r="V275">
            <v>37873.33</v>
          </cell>
          <cell r="W275">
            <v>27001.97</v>
          </cell>
          <cell r="X275">
            <v>47023.82</v>
          </cell>
          <cell r="Y275">
            <v>27943.84</v>
          </cell>
          <cell r="Z275">
            <v>31362.44</v>
          </cell>
          <cell r="AA275">
            <v>165929.21</v>
          </cell>
          <cell r="AB275">
            <v>30390.48</v>
          </cell>
          <cell r="AC275">
            <v>31989.46</v>
          </cell>
          <cell r="AD275">
            <v>31325.27</v>
          </cell>
          <cell r="AE275">
            <v>38089.64</v>
          </cell>
          <cell r="AF275">
            <v>29155.01</v>
          </cell>
          <cell r="AG275">
            <v>32998.230000000003</v>
          </cell>
          <cell r="AH275">
            <v>32584.7</v>
          </cell>
          <cell r="AI275">
            <v>43469.22</v>
          </cell>
          <cell r="AJ275">
            <v>36691.1</v>
          </cell>
          <cell r="AK275">
            <v>34333.370000000003</v>
          </cell>
          <cell r="AL275">
            <v>36553.589999999997</v>
          </cell>
          <cell r="AM275">
            <v>39447.35</v>
          </cell>
          <cell r="AN275">
            <v>29785.599999999999</v>
          </cell>
          <cell r="AO275">
            <v>33462.910000000003</v>
          </cell>
          <cell r="AP275">
            <v>29175.08</v>
          </cell>
          <cell r="AQ275">
            <v>32877.9</v>
          </cell>
          <cell r="AR275">
            <v>32154.23</v>
          </cell>
          <cell r="AS275">
            <v>38178.910000000003</v>
          </cell>
          <cell r="AT275">
            <v>34915.31</v>
          </cell>
          <cell r="AU275">
            <v>33532.43</v>
          </cell>
          <cell r="AV275">
            <v>33316.080000000002</v>
          </cell>
          <cell r="AW275">
            <v>37530.660000000003</v>
          </cell>
          <cell r="AX275">
            <v>31691.599999999999</v>
          </cell>
          <cell r="AY275">
            <v>33210.42</v>
          </cell>
          <cell r="AZ275">
            <v>38026.519999999997</v>
          </cell>
          <cell r="BA275">
            <v>25705.35</v>
          </cell>
          <cell r="BB275">
            <v>27658.44</v>
          </cell>
          <cell r="BC275">
            <v>35701.19</v>
          </cell>
          <cell r="BD275">
            <v>25243.61</v>
          </cell>
          <cell r="BE275">
            <v>41066.6</v>
          </cell>
          <cell r="BF275">
            <v>27509.97</v>
          </cell>
          <cell r="BG275">
            <v>32781.61</v>
          </cell>
          <cell r="BH275">
            <v>38432.54</v>
          </cell>
          <cell r="BI275">
            <v>31151.3</v>
          </cell>
          <cell r="BJ275">
            <v>25897.56</v>
          </cell>
          <cell r="BK275">
            <v>44002.09</v>
          </cell>
          <cell r="BL275">
            <v>25193.31</v>
          </cell>
          <cell r="BM275">
            <v>27887.759999999998</v>
          </cell>
          <cell r="BN275">
            <v>32195.08</v>
          </cell>
          <cell r="BO275">
            <v>27325.77</v>
          </cell>
          <cell r="BP275">
            <v>30371.39</v>
          </cell>
          <cell r="BQ275">
            <v>28483.759999999998</v>
          </cell>
          <cell r="BR275">
            <v>26645.26</v>
          </cell>
          <cell r="BS275">
            <v>24088.68</v>
          </cell>
          <cell r="BT275">
            <v>51231.95</v>
          </cell>
          <cell r="BU275">
            <v>44542.87</v>
          </cell>
          <cell r="BV275">
            <v>23037.64</v>
          </cell>
          <cell r="BW275">
            <v>30776.18</v>
          </cell>
          <cell r="BX275">
            <v>28210.39</v>
          </cell>
          <cell r="BY275">
            <v>26817.5</v>
          </cell>
          <cell r="BZ275">
            <v>24689.16</v>
          </cell>
          <cell r="CA275">
            <v>25792.02</v>
          </cell>
          <cell r="CB275">
            <v>24909.58</v>
          </cell>
          <cell r="CC275">
            <v>27460.799999999999</v>
          </cell>
          <cell r="CD275">
            <v>28563.82</v>
          </cell>
          <cell r="CE275">
            <v>32688.75</v>
          </cell>
          <cell r="CF275">
            <v>21140.26</v>
          </cell>
          <cell r="CG275">
            <v>20877.09</v>
          </cell>
          <cell r="CH275">
            <v>51214.92</v>
          </cell>
          <cell r="CI275">
            <v>26184.66</v>
          </cell>
          <cell r="CJ275">
            <v>70697.070000000007</v>
          </cell>
          <cell r="CK275">
            <v>34231.980000000003</v>
          </cell>
          <cell r="CL275">
            <v>26457.49</v>
          </cell>
          <cell r="CM275">
            <v>40135.96</v>
          </cell>
          <cell r="CN275">
            <v>21958.79</v>
          </cell>
          <cell r="CO275">
            <v>46467.76</v>
          </cell>
          <cell r="CP275">
            <v>41887.339999999997</v>
          </cell>
          <cell r="CQ275">
            <v>17989.57</v>
          </cell>
          <cell r="CR275">
            <v>72135.22</v>
          </cell>
          <cell r="CS275">
            <v>46795.87</v>
          </cell>
          <cell r="CT275">
            <v>27883.040000000001</v>
          </cell>
          <cell r="CU275">
            <v>28558.39</v>
          </cell>
          <cell r="CV275">
            <v>36723.19</v>
          </cell>
          <cell r="CW275">
            <v>60913.96</v>
          </cell>
          <cell r="CX275">
            <v>50639.38</v>
          </cell>
          <cell r="CY275">
            <v>46097.59</v>
          </cell>
          <cell r="CZ275">
            <v>39539.360000000001</v>
          </cell>
          <cell r="DA275">
            <v>30133.81</v>
          </cell>
          <cell r="DB275">
            <v>47552.7</v>
          </cell>
          <cell r="DC275">
            <v>53499.97</v>
          </cell>
          <cell r="DD275">
            <v>48435.74</v>
          </cell>
          <cell r="DE275">
            <v>49555.839999999997</v>
          </cell>
          <cell r="DF275">
            <v>37429.24</v>
          </cell>
          <cell r="DG275">
            <v>51886.48</v>
          </cell>
          <cell r="DH275">
            <v>552407.25999999989</v>
          </cell>
        </row>
        <row r="276">
          <cell r="A276" t="str">
            <v>6730020</v>
          </cell>
          <cell r="B276" t="str">
            <v>6730020</v>
          </cell>
          <cell r="C276" t="str">
            <v>Utilities-Gas</v>
          </cell>
          <cell r="D276">
            <v>0</v>
          </cell>
          <cell r="E276">
            <v>0</v>
          </cell>
          <cell r="F276">
            <v>0</v>
          </cell>
          <cell r="G276">
            <v>0</v>
          </cell>
          <cell r="H276">
            <v>0</v>
          </cell>
          <cell r="I276">
            <v>0</v>
          </cell>
          <cell r="J276">
            <v>0</v>
          </cell>
          <cell r="K276">
            <v>13.22</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48.02</v>
          </cell>
          <cell r="AN276">
            <v>0</v>
          </cell>
          <cell r="AO276">
            <v>14.42</v>
          </cell>
          <cell r="AP276">
            <v>0</v>
          </cell>
          <cell r="AQ276">
            <v>0</v>
          </cell>
          <cell r="AR276">
            <v>0</v>
          </cell>
          <cell r="AS276">
            <v>0</v>
          </cell>
          <cell r="AT276">
            <v>24.01</v>
          </cell>
          <cell r="AU276">
            <v>0</v>
          </cell>
          <cell r="AV276">
            <v>0</v>
          </cell>
          <cell r="AW276">
            <v>0</v>
          </cell>
          <cell r="AX276">
            <v>0</v>
          </cell>
          <cell r="AY276">
            <v>0</v>
          </cell>
          <cell r="AZ276">
            <v>138.41999999999999</v>
          </cell>
          <cell r="BA276">
            <v>57.31</v>
          </cell>
          <cell r="BB276">
            <v>970.05</v>
          </cell>
          <cell r="BC276">
            <v>18.77</v>
          </cell>
          <cell r="BD276">
            <v>32.08</v>
          </cell>
          <cell r="BE276">
            <v>64.209999999999994</v>
          </cell>
          <cell r="BF276">
            <v>71.739999999999995</v>
          </cell>
          <cell r="BG276">
            <v>29.38</v>
          </cell>
          <cell r="BH276">
            <v>789.31</v>
          </cell>
          <cell r="BI276">
            <v>95.87</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23.08</v>
          </cell>
          <cell r="CB276">
            <v>24.68</v>
          </cell>
          <cell r="CC276">
            <v>0</v>
          </cell>
          <cell r="CD276">
            <v>0</v>
          </cell>
          <cell r="CE276">
            <v>0</v>
          </cell>
          <cell r="CF276">
            <v>0</v>
          </cell>
          <cell r="CG276">
            <v>0</v>
          </cell>
          <cell r="CH276">
            <v>0</v>
          </cell>
          <cell r="CI276">
            <v>0</v>
          </cell>
          <cell r="CJ276">
            <v>53.41</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row>
        <row r="277">
          <cell r="A277" t="str">
            <v>6730030</v>
          </cell>
          <cell r="B277" t="str">
            <v>6730030</v>
          </cell>
          <cell r="C277" t="str">
            <v>Utilities-Telecom</v>
          </cell>
          <cell r="D277">
            <v>176788.81</v>
          </cell>
          <cell r="E277">
            <v>145555.42000000001</v>
          </cell>
          <cell r="F277">
            <v>161197.93</v>
          </cell>
          <cell r="G277">
            <v>126214.65</v>
          </cell>
          <cell r="H277">
            <v>147677.04</v>
          </cell>
          <cell r="I277">
            <v>149750.67000000001</v>
          </cell>
          <cell r="J277">
            <v>155734.81</v>
          </cell>
          <cell r="K277">
            <v>137475.04999999999</v>
          </cell>
          <cell r="L277">
            <v>167229.82999999999</v>
          </cell>
          <cell r="M277">
            <v>151027.67000000001</v>
          </cell>
          <cell r="N277">
            <v>147217.85</v>
          </cell>
          <cell r="O277">
            <v>143483.09</v>
          </cell>
          <cell r="P277">
            <v>146617.5</v>
          </cell>
          <cell r="Q277">
            <v>133016.59</v>
          </cell>
          <cell r="R277">
            <v>149443.44</v>
          </cell>
          <cell r="S277">
            <v>123127.17</v>
          </cell>
          <cell r="T277">
            <v>181405.97</v>
          </cell>
          <cell r="U277">
            <v>153520.53</v>
          </cell>
          <cell r="V277">
            <v>125888.78</v>
          </cell>
          <cell r="W277">
            <v>139733.49</v>
          </cell>
          <cell r="X277">
            <v>139229.32</v>
          </cell>
          <cell r="Y277">
            <v>130513.05</v>
          </cell>
          <cell r="Z277">
            <v>138718.28</v>
          </cell>
          <cell r="AA277">
            <v>142083.19</v>
          </cell>
          <cell r="AB277">
            <v>138364.07</v>
          </cell>
          <cell r="AC277">
            <v>133533.26</v>
          </cell>
          <cell r="AD277">
            <v>145948.32999999999</v>
          </cell>
          <cell r="AE277">
            <v>135603.72</v>
          </cell>
          <cell r="AF277">
            <v>125423.99</v>
          </cell>
          <cell r="AG277">
            <v>146671.71</v>
          </cell>
          <cell r="AH277">
            <v>141236.49</v>
          </cell>
          <cell r="AI277">
            <v>118139.84</v>
          </cell>
          <cell r="AJ277">
            <v>163599.39000000001</v>
          </cell>
          <cell r="AK277">
            <v>136204.46</v>
          </cell>
          <cell r="AL277">
            <v>140349.26</v>
          </cell>
          <cell r="AM277">
            <v>136928.60999999999</v>
          </cell>
          <cell r="AN277">
            <v>123011.08</v>
          </cell>
          <cell r="AO277">
            <v>145641.01999999999</v>
          </cell>
          <cell r="AP277">
            <v>137982.6</v>
          </cell>
          <cell r="AQ277">
            <v>139182.43</v>
          </cell>
          <cell r="AR277">
            <v>141378.19</v>
          </cell>
          <cell r="AS277">
            <v>168620.7</v>
          </cell>
          <cell r="AT277">
            <v>137143.38</v>
          </cell>
          <cell r="AU277">
            <v>149938.54999999999</v>
          </cell>
          <cell r="AV277">
            <v>137088.44</v>
          </cell>
          <cell r="AW277">
            <v>139200.04</v>
          </cell>
          <cell r="AX277">
            <v>142470.76999999999</v>
          </cell>
          <cell r="AY277">
            <v>124478.6</v>
          </cell>
          <cell r="AZ277">
            <v>138374.63</v>
          </cell>
          <cell r="BA277">
            <v>138280.82</v>
          </cell>
          <cell r="BB277">
            <v>141506.64000000001</v>
          </cell>
          <cell r="BC277">
            <v>136381.26999999999</v>
          </cell>
          <cell r="BD277">
            <v>137852.01999999999</v>
          </cell>
          <cell r="BE277">
            <v>130842.25</v>
          </cell>
          <cell r="BF277">
            <v>138334.6</v>
          </cell>
          <cell r="BG277">
            <v>144030.18</v>
          </cell>
          <cell r="BH277">
            <v>201401.99</v>
          </cell>
          <cell r="BI277">
            <v>175894.5</v>
          </cell>
          <cell r="BJ277">
            <v>160234.70000000001</v>
          </cell>
          <cell r="BK277">
            <v>138029.57999999999</v>
          </cell>
          <cell r="BL277">
            <v>158529.16</v>
          </cell>
          <cell r="BM277">
            <v>148842.38</v>
          </cell>
          <cell r="BN277">
            <v>158694.07</v>
          </cell>
          <cell r="BO277">
            <v>165537.39000000001</v>
          </cell>
          <cell r="BP277">
            <v>164345.19</v>
          </cell>
          <cell r="BQ277">
            <v>166354.26999999999</v>
          </cell>
          <cell r="BR277">
            <v>173096.38</v>
          </cell>
          <cell r="BS277">
            <v>172676.2</v>
          </cell>
          <cell r="BT277">
            <v>169425.88</v>
          </cell>
          <cell r="BU277">
            <v>175355.68</v>
          </cell>
          <cell r="BV277">
            <v>160127.63</v>
          </cell>
          <cell r="BW277">
            <v>194068.06</v>
          </cell>
          <cell r="BX277">
            <v>175483.01</v>
          </cell>
          <cell r="BY277">
            <v>178595.39</v>
          </cell>
          <cell r="BZ277">
            <v>170596.56</v>
          </cell>
          <cell r="CA277">
            <v>171965.4</v>
          </cell>
          <cell r="CB277">
            <v>153265.34</v>
          </cell>
          <cell r="CC277">
            <v>216286.97</v>
          </cell>
          <cell r="CD277">
            <v>179080.1</v>
          </cell>
          <cell r="CE277">
            <v>166829.85999999999</v>
          </cell>
          <cell r="CF277">
            <v>202440.53</v>
          </cell>
          <cell r="CG277">
            <v>185784.2</v>
          </cell>
          <cell r="CH277">
            <v>190125.42</v>
          </cell>
          <cell r="CI277">
            <v>188999.67999999999</v>
          </cell>
          <cell r="CJ277">
            <v>186271.83</v>
          </cell>
          <cell r="CK277">
            <v>197590.1</v>
          </cell>
          <cell r="CL277">
            <v>195323.95</v>
          </cell>
          <cell r="CM277">
            <v>196774.11</v>
          </cell>
          <cell r="CN277">
            <v>192961.76</v>
          </cell>
          <cell r="CO277">
            <v>194595.65</v>
          </cell>
          <cell r="CP277">
            <v>208472.32000000001</v>
          </cell>
          <cell r="CQ277">
            <v>206692.66</v>
          </cell>
          <cell r="CR277">
            <v>197976.18</v>
          </cell>
          <cell r="CS277">
            <v>201793.24</v>
          </cell>
          <cell r="CT277">
            <v>234118.61</v>
          </cell>
          <cell r="CU277">
            <v>203116.25</v>
          </cell>
          <cell r="CV277">
            <v>192083.52</v>
          </cell>
          <cell r="CW277">
            <v>197950.32</v>
          </cell>
          <cell r="CX277">
            <v>195074.99</v>
          </cell>
          <cell r="CY277">
            <v>200962.13</v>
          </cell>
          <cell r="CZ277">
            <v>191977.9</v>
          </cell>
          <cell r="DA277">
            <v>217519.63</v>
          </cell>
          <cell r="DB277">
            <v>196946.76</v>
          </cell>
          <cell r="DC277">
            <v>172578.56</v>
          </cell>
          <cell r="DD277">
            <v>157751.04999999999</v>
          </cell>
          <cell r="DE277">
            <v>566558.18999999994</v>
          </cell>
          <cell r="DF277">
            <v>194350.97</v>
          </cell>
          <cell r="DG277">
            <v>199157.46</v>
          </cell>
          <cell r="DH277">
            <v>2682911.48</v>
          </cell>
        </row>
        <row r="278">
          <cell r="A278" t="str">
            <v>6730050</v>
          </cell>
          <cell r="B278" t="str">
            <v>6730050</v>
          </cell>
          <cell r="C278" t="str">
            <v>Utilities-WasteTrash</v>
          </cell>
          <cell r="D278">
            <v>8534.77</v>
          </cell>
          <cell r="E278">
            <v>5612.72</v>
          </cell>
          <cell r="F278">
            <v>6202.99</v>
          </cell>
          <cell r="G278">
            <v>6960.79</v>
          </cell>
          <cell r="H278">
            <v>8077.71</v>
          </cell>
          <cell r="I278">
            <v>7221.53</v>
          </cell>
          <cell r="J278">
            <v>7673.15</v>
          </cell>
          <cell r="K278">
            <v>6380.41</v>
          </cell>
          <cell r="L278">
            <v>5572.29</v>
          </cell>
          <cell r="M278">
            <v>10429.129999999999</v>
          </cell>
          <cell r="N278">
            <v>6175</v>
          </cell>
          <cell r="O278">
            <v>7130.14</v>
          </cell>
          <cell r="P278">
            <v>6312.31</v>
          </cell>
          <cell r="Q278">
            <v>5424.86</v>
          </cell>
          <cell r="R278">
            <v>5363.7</v>
          </cell>
          <cell r="S278">
            <v>9008.58</v>
          </cell>
          <cell r="T278">
            <v>5284.79</v>
          </cell>
          <cell r="U278">
            <v>4934.5600000000004</v>
          </cell>
          <cell r="V278">
            <v>10712.86</v>
          </cell>
          <cell r="W278">
            <v>4417.76</v>
          </cell>
          <cell r="X278">
            <v>4508.1400000000003</v>
          </cell>
          <cell r="Y278">
            <v>7800.69</v>
          </cell>
          <cell r="Z278">
            <v>5221.92</v>
          </cell>
          <cell r="AA278">
            <v>5081.9399999999996</v>
          </cell>
          <cell r="AB278">
            <v>6850.96</v>
          </cell>
          <cell r="AC278">
            <v>5052.87</v>
          </cell>
          <cell r="AD278">
            <v>5593.55</v>
          </cell>
          <cell r="AE278">
            <v>7261.46</v>
          </cell>
          <cell r="AF278">
            <v>6841.84</v>
          </cell>
          <cell r="AG278">
            <v>7098.02</v>
          </cell>
          <cell r="AH278">
            <v>6902.9</v>
          </cell>
          <cell r="AI278">
            <v>5137.8599999999997</v>
          </cell>
          <cell r="AJ278">
            <v>10487.3</v>
          </cell>
          <cell r="AK278">
            <v>3558.62</v>
          </cell>
          <cell r="AL278">
            <v>8055.54</v>
          </cell>
          <cell r="AM278">
            <v>6733.78</v>
          </cell>
          <cell r="AN278">
            <v>11943.24</v>
          </cell>
          <cell r="AO278">
            <v>4077.8</v>
          </cell>
          <cell r="AP278">
            <v>3081.83</v>
          </cell>
          <cell r="AQ278">
            <v>4353.08</v>
          </cell>
          <cell r="AR278">
            <v>4322.3100000000004</v>
          </cell>
          <cell r="AS278">
            <v>2313.4</v>
          </cell>
          <cell r="AT278">
            <v>4553.32</v>
          </cell>
          <cell r="AU278">
            <v>3450.01</v>
          </cell>
          <cell r="AV278">
            <v>3448.84</v>
          </cell>
          <cell r="AW278">
            <v>7421.59</v>
          </cell>
          <cell r="AX278">
            <v>3572.91</v>
          </cell>
          <cell r="AY278">
            <v>3379.65</v>
          </cell>
          <cell r="AZ278">
            <v>4435.1499999999996</v>
          </cell>
          <cell r="BA278">
            <v>3246.09</v>
          </cell>
          <cell r="BB278">
            <v>2031.81</v>
          </cell>
          <cell r="BC278">
            <v>7134.7</v>
          </cell>
          <cell r="BD278">
            <v>3834.52</v>
          </cell>
          <cell r="BE278">
            <v>2885.1</v>
          </cell>
          <cell r="BF278">
            <v>7335.27</v>
          </cell>
          <cell r="BG278">
            <v>6204.1</v>
          </cell>
          <cell r="BH278">
            <v>962.14</v>
          </cell>
          <cell r="BI278">
            <v>3365.18</v>
          </cell>
          <cell r="BJ278">
            <v>6962.2</v>
          </cell>
          <cell r="BK278">
            <v>2022.95</v>
          </cell>
          <cell r="BL278">
            <v>6266.28</v>
          </cell>
          <cell r="BM278">
            <v>3904.66</v>
          </cell>
          <cell r="BN278">
            <v>4387.49</v>
          </cell>
          <cell r="BO278">
            <v>4639.37</v>
          </cell>
          <cell r="BP278">
            <v>6725.54</v>
          </cell>
          <cell r="BQ278">
            <v>3026.35</v>
          </cell>
          <cell r="BR278">
            <v>6793.21</v>
          </cell>
          <cell r="BS278">
            <v>5288.25</v>
          </cell>
          <cell r="BT278">
            <v>6026.93</v>
          </cell>
          <cell r="BU278">
            <v>7381.67</v>
          </cell>
          <cell r="BV278">
            <v>6499.53</v>
          </cell>
          <cell r="BW278">
            <v>5143.0200000000004</v>
          </cell>
          <cell r="BX278">
            <v>8908.19</v>
          </cell>
          <cell r="BY278">
            <v>6960.34</v>
          </cell>
          <cell r="BZ278">
            <v>6608.39</v>
          </cell>
          <cell r="CA278">
            <v>7767.43</v>
          </cell>
          <cell r="CB278">
            <v>12918.15</v>
          </cell>
          <cell r="CC278">
            <v>12304.93</v>
          </cell>
          <cell r="CD278">
            <v>1512.05</v>
          </cell>
          <cell r="CE278">
            <v>5095.22</v>
          </cell>
          <cell r="CF278">
            <v>5508.99</v>
          </cell>
          <cell r="CG278">
            <v>6151.77</v>
          </cell>
          <cell r="CH278">
            <v>6457.96</v>
          </cell>
          <cell r="CI278">
            <v>5778.79</v>
          </cell>
          <cell r="CJ278">
            <v>16088.08</v>
          </cell>
          <cell r="CK278">
            <v>3117.8</v>
          </cell>
          <cell r="CL278">
            <v>10264.73</v>
          </cell>
          <cell r="CM278">
            <v>7361.33</v>
          </cell>
          <cell r="CN278">
            <v>6251.09</v>
          </cell>
          <cell r="CO278">
            <v>9154.32</v>
          </cell>
          <cell r="CP278">
            <v>9728</v>
          </cell>
          <cell r="CQ278">
            <v>6710.73</v>
          </cell>
          <cell r="CR278">
            <v>15562.68</v>
          </cell>
          <cell r="CS278">
            <v>6636.96</v>
          </cell>
          <cell r="CT278">
            <v>10563.15</v>
          </cell>
          <cell r="CU278">
            <v>9157.1</v>
          </cell>
          <cell r="CV278">
            <v>14006.31</v>
          </cell>
          <cell r="CW278">
            <v>3636.76</v>
          </cell>
          <cell r="CX278">
            <v>8312.66</v>
          </cell>
          <cell r="CY278">
            <v>9362.99</v>
          </cell>
          <cell r="CZ278">
            <v>11634.43</v>
          </cell>
          <cell r="DA278">
            <v>12853.09</v>
          </cell>
          <cell r="DB278">
            <v>5929.35</v>
          </cell>
          <cell r="DC278">
            <v>4375.6099999999997</v>
          </cell>
          <cell r="DD278">
            <v>4546.8999999999996</v>
          </cell>
          <cell r="DE278">
            <v>12287.94</v>
          </cell>
          <cell r="DF278">
            <v>5593.98</v>
          </cell>
          <cell r="DG278">
            <v>4477.6899999999996</v>
          </cell>
          <cell r="DH278">
            <v>97017.71</v>
          </cell>
        </row>
        <row r="279">
          <cell r="A279" t="str">
            <v>6730060</v>
          </cell>
          <cell r="B279" t="str">
            <v>6730060</v>
          </cell>
          <cell r="C279" t="str">
            <v>Utilities-Water</v>
          </cell>
          <cell r="D279">
            <v>1625.42</v>
          </cell>
          <cell r="E279">
            <v>2114.34</v>
          </cell>
          <cell r="F279">
            <v>2582.84</v>
          </cell>
          <cell r="G279">
            <v>500.83</v>
          </cell>
          <cell r="H279">
            <v>3133.64</v>
          </cell>
          <cell r="I279">
            <v>1673.29</v>
          </cell>
          <cell r="J279">
            <v>2129.3200000000002</v>
          </cell>
          <cell r="K279">
            <v>715.06</v>
          </cell>
          <cell r="L279">
            <v>1172.21</v>
          </cell>
          <cell r="M279">
            <v>2507.29</v>
          </cell>
          <cell r="N279">
            <v>1090.3900000000001</v>
          </cell>
          <cell r="O279">
            <v>1316.64</v>
          </cell>
          <cell r="P279">
            <v>1741.6</v>
          </cell>
          <cell r="Q279">
            <v>296.45</v>
          </cell>
          <cell r="R279">
            <v>2362.83</v>
          </cell>
          <cell r="S279">
            <v>1823.5</v>
          </cell>
          <cell r="T279">
            <v>937.43</v>
          </cell>
          <cell r="U279">
            <v>1763.05</v>
          </cell>
          <cell r="V279">
            <v>1530.4</v>
          </cell>
          <cell r="W279">
            <v>502.28</v>
          </cell>
          <cell r="X279">
            <v>2453.06</v>
          </cell>
          <cell r="Y279">
            <v>1500.49</v>
          </cell>
          <cell r="Z279">
            <v>1371</v>
          </cell>
          <cell r="AA279">
            <v>1241.26</v>
          </cell>
          <cell r="AB279">
            <v>734.83</v>
          </cell>
          <cell r="AC279">
            <v>1376.13</v>
          </cell>
          <cell r="AD279">
            <v>1240.76</v>
          </cell>
          <cell r="AE279">
            <v>1323.14</v>
          </cell>
          <cell r="AF279">
            <v>1280.75</v>
          </cell>
          <cell r="AG279">
            <v>1678.26</v>
          </cell>
          <cell r="AH279">
            <v>1385.17</v>
          </cell>
          <cell r="AI279">
            <v>1826.87</v>
          </cell>
          <cell r="AJ279">
            <v>704</v>
          </cell>
          <cell r="AK279">
            <v>2059.04</v>
          </cell>
          <cell r="AL279">
            <v>1472.07</v>
          </cell>
          <cell r="AM279">
            <v>4281.84</v>
          </cell>
          <cell r="AN279">
            <v>1859.11</v>
          </cell>
          <cell r="AO279">
            <v>1529.68</v>
          </cell>
          <cell r="AP279">
            <v>2072.2199999999998</v>
          </cell>
          <cell r="AQ279">
            <v>1397.06</v>
          </cell>
          <cell r="AR279">
            <v>1235.6099999999999</v>
          </cell>
          <cell r="AS279">
            <v>2824.4</v>
          </cell>
          <cell r="AT279">
            <v>5553.41</v>
          </cell>
          <cell r="AU279">
            <v>3414.51</v>
          </cell>
          <cell r="AV279">
            <v>3575.5</v>
          </cell>
          <cell r="AW279">
            <v>9530.73</v>
          </cell>
          <cell r="AX279">
            <v>2071.98</v>
          </cell>
          <cell r="AY279">
            <v>8313.15</v>
          </cell>
          <cell r="AZ279">
            <v>12581.92</v>
          </cell>
          <cell r="BA279">
            <v>3483.88</v>
          </cell>
          <cell r="BB279">
            <v>3217.75</v>
          </cell>
          <cell r="BC279">
            <v>3790.01</v>
          </cell>
          <cell r="BD279">
            <v>2885.68</v>
          </cell>
          <cell r="BE279">
            <v>5041.07</v>
          </cell>
          <cell r="BF279">
            <v>9084.4500000000007</v>
          </cell>
          <cell r="BG279">
            <v>1666.38</v>
          </cell>
          <cell r="BH279">
            <v>674.04</v>
          </cell>
          <cell r="BI279">
            <v>10996.08</v>
          </cell>
          <cell r="BJ279">
            <v>2918.35</v>
          </cell>
          <cell r="BK279">
            <v>2893.69</v>
          </cell>
          <cell r="BL279">
            <v>9703.66</v>
          </cell>
          <cell r="BM279">
            <v>2266.37</v>
          </cell>
          <cell r="BN279">
            <v>5068.99</v>
          </cell>
          <cell r="BO279">
            <v>4803.55</v>
          </cell>
          <cell r="BP279">
            <v>7047.93</v>
          </cell>
          <cell r="BQ279">
            <v>3775.37</v>
          </cell>
          <cell r="BR279">
            <v>3118.77</v>
          </cell>
          <cell r="BS279">
            <v>1477.91</v>
          </cell>
          <cell r="BT279">
            <v>3561.98</v>
          </cell>
          <cell r="BU279">
            <v>6921.73</v>
          </cell>
          <cell r="BV279">
            <v>2949.25</v>
          </cell>
          <cell r="BW279">
            <v>3569.77</v>
          </cell>
          <cell r="BX279">
            <v>3113.87</v>
          </cell>
          <cell r="BY279">
            <v>3294.7</v>
          </cell>
          <cell r="BZ279">
            <v>3333.15</v>
          </cell>
          <cell r="CA279">
            <v>4920.92</v>
          </cell>
          <cell r="CB279">
            <v>1172.76</v>
          </cell>
          <cell r="CC279">
            <v>306.29000000000002</v>
          </cell>
          <cell r="CD279">
            <v>17439.62</v>
          </cell>
          <cell r="CE279">
            <v>3775.06</v>
          </cell>
          <cell r="CF279">
            <v>702.26</v>
          </cell>
          <cell r="CG279">
            <v>2454.54</v>
          </cell>
          <cell r="CH279">
            <v>6010.88</v>
          </cell>
          <cell r="CI279">
            <v>6675.81</v>
          </cell>
          <cell r="CJ279">
            <v>4508.09</v>
          </cell>
          <cell r="CK279">
            <v>1378.69</v>
          </cell>
          <cell r="CL279">
            <v>6098.82</v>
          </cell>
          <cell r="CM279">
            <v>4422.08</v>
          </cell>
          <cell r="CN279">
            <v>3969.17</v>
          </cell>
          <cell r="CO279">
            <v>4261.03</v>
          </cell>
          <cell r="CP279">
            <v>3909.56</v>
          </cell>
          <cell r="CQ279">
            <v>3136.6</v>
          </cell>
          <cell r="CR279">
            <v>3928.99</v>
          </cell>
          <cell r="CS279">
            <v>1122.46</v>
          </cell>
          <cell r="CT279">
            <v>6466.73</v>
          </cell>
          <cell r="CU279">
            <v>467.35</v>
          </cell>
          <cell r="CV279">
            <v>706.08</v>
          </cell>
          <cell r="CW279">
            <v>14985.57</v>
          </cell>
          <cell r="CX279">
            <v>2022.32</v>
          </cell>
          <cell r="CY279">
            <v>1246.03</v>
          </cell>
          <cell r="CZ279">
            <v>1003.18</v>
          </cell>
          <cell r="DA279">
            <v>1694.46</v>
          </cell>
          <cell r="DB279">
            <v>5585.77</v>
          </cell>
          <cell r="DC279">
            <v>10722.74</v>
          </cell>
          <cell r="DD279">
            <v>7847.61</v>
          </cell>
          <cell r="DE279">
            <v>23479.59</v>
          </cell>
          <cell r="DF279">
            <v>7398.82</v>
          </cell>
          <cell r="DG279">
            <v>1584.66</v>
          </cell>
          <cell r="DH279">
            <v>78276.830000000016</v>
          </cell>
        </row>
        <row r="280">
          <cell r="A280" t="str">
            <v>6730800</v>
          </cell>
          <cell r="B280" t="str">
            <v>6730800</v>
          </cell>
          <cell r="C280" t="str">
            <v>Utilities-Other</v>
          </cell>
          <cell r="D280">
            <v>1992</v>
          </cell>
          <cell r="E280">
            <v>672.53</v>
          </cell>
          <cell r="F280">
            <v>770.04</v>
          </cell>
          <cell r="G280">
            <v>1029.6500000000001</v>
          </cell>
          <cell r="H280">
            <v>573.97</v>
          </cell>
          <cell r="I280">
            <v>1239.57</v>
          </cell>
          <cell r="J280">
            <v>1284.55</v>
          </cell>
          <cell r="K280">
            <v>175.09</v>
          </cell>
          <cell r="L280">
            <v>1458.17</v>
          </cell>
          <cell r="M280">
            <v>1879.26</v>
          </cell>
          <cell r="N280">
            <v>321.35000000000002</v>
          </cell>
          <cell r="O280">
            <v>831.08</v>
          </cell>
          <cell r="P280">
            <v>464.97</v>
          </cell>
          <cell r="Q280">
            <v>-42.86</v>
          </cell>
          <cell r="R280">
            <v>1027.07</v>
          </cell>
          <cell r="S280">
            <v>524.83000000000004</v>
          </cell>
          <cell r="T280">
            <v>1262.1400000000001</v>
          </cell>
          <cell r="U280">
            <v>1005.68</v>
          </cell>
          <cell r="V280">
            <v>458.23</v>
          </cell>
          <cell r="W280">
            <v>469.51</v>
          </cell>
          <cell r="X280">
            <v>840.45</v>
          </cell>
          <cell r="Y280">
            <v>347</v>
          </cell>
          <cell r="Z280">
            <v>596.02</v>
          </cell>
          <cell r="AA280">
            <v>913.47</v>
          </cell>
          <cell r="AB280">
            <v>342.34</v>
          </cell>
          <cell r="AC280">
            <v>789.26</v>
          </cell>
          <cell r="AD280">
            <v>711.35</v>
          </cell>
          <cell r="AE280">
            <v>650.57000000000005</v>
          </cell>
          <cell r="AF280">
            <v>9988.69</v>
          </cell>
          <cell r="AG280">
            <v>681.23</v>
          </cell>
          <cell r="AH280">
            <v>652.67999999999995</v>
          </cell>
          <cell r="AI280">
            <v>1262.43</v>
          </cell>
          <cell r="AJ280">
            <v>110.13</v>
          </cell>
          <cell r="AK280">
            <v>791.77</v>
          </cell>
          <cell r="AL280">
            <v>2870.39</v>
          </cell>
          <cell r="AM280">
            <v>714.77</v>
          </cell>
          <cell r="AN280">
            <v>801.01</v>
          </cell>
          <cell r="AO280">
            <v>504.66</v>
          </cell>
          <cell r="AP280">
            <v>791.96</v>
          </cell>
          <cell r="AQ280">
            <v>780.73</v>
          </cell>
          <cell r="AR280">
            <v>428.61</v>
          </cell>
          <cell r="AS280">
            <v>585.73</v>
          </cell>
          <cell r="AT280">
            <v>763.84</v>
          </cell>
          <cell r="AU280">
            <v>1878.36</v>
          </cell>
          <cell r="AV280">
            <v>651.07000000000005</v>
          </cell>
          <cell r="AW280">
            <v>1141.5899999999999</v>
          </cell>
          <cell r="AX280">
            <v>780.22</v>
          </cell>
          <cell r="AY280">
            <v>1024.17</v>
          </cell>
          <cell r="AZ280">
            <v>1620.3</v>
          </cell>
          <cell r="BA280">
            <v>555.69000000000005</v>
          </cell>
          <cell r="BB280">
            <v>785.72</v>
          </cell>
          <cell r="BC280">
            <v>998.77</v>
          </cell>
          <cell r="BD280">
            <v>664.9</v>
          </cell>
          <cell r="BE280">
            <v>952.39</v>
          </cell>
          <cell r="BF280">
            <v>336.33</v>
          </cell>
          <cell r="BG280">
            <v>813.45</v>
          </cell>
          <cell r="BH280">
            <v>599.64</v>
          </cell>
          <cell r="BI280">
            <v>1102.56</v>
          </cell>
          <cell r="BJ280">
            <v>421.14</v>
          </cell>
          <cell r="BK280">
            <v>707.63</v>
          </cell>
          <cell r="BL280">
            <v>538.19000000000005</v>
          </cell>
          <cell r="BM280">
            <v>2482.0300000000002</v>
          </cell>
          <cell r="BN280">
            <v>495.64</v>
          </cell>
          <cell r="BO280">
            <v>411.88</v>
          </cell>
          <cell r="BP280">
            <v>763.9</v>
          </cell>
          <cell r="BQ280">
            <v>929.99</v>
          </cell>
          <cell r="BR280">
            <v>894.56</v>
          </cell>
          <cell r="BS280">
            <v>2308.25</v>
          </cell>
          <cell r="BT280">
            <v>758.15</v>
          </cell>
          <cell r="BU280">
            <v>1403.5</v>
          </cell>
          <cell r="BV280">
            <v>421.37</v>
          </cell>
          <cell r="BW280">
            <v>882.35</v>
          </cell>
          <cell r="BX280">
            <v>1594.23</v>
          </cell>
          <cell r="BY280">
            <v>1052.82</v>
          </cell>
          <cell r="BZ280">
            <v>1243.1300000000001</v>
          </cell>
          <cell r="CA280">
            <v>512.80999999999995</v>
          </cell>
          <cell r="CB280">
            <v>937.02</v>
          </cell>
          <cell r="CC280">
            <v>1409.76</v>
          </cell>
          <cell r="CD280">
            <v>1745.31</v>
          </cell>
          <cell r="CE280">
            <v>2141.73</v>
          </cell>
          <cell r="CF280">
            <v>1922.42</v>
          </cell>
          <cell r="CG280">
            <v>1696.64</v>
          </cell>
          <cell r="CH280">
            <v>4218.18</v>
          </cell>
          <cell r="CI280">
            <v>1539.97</v>
          </cell>
          <cell r="CJ280">
            <v>2308.0700000000002</v>
          </cell>
          <cell r="CK280">
            <v>3010.39</v>
          </cell>
          <cell r="CL280">
            <v>2181.4499999999998</v>
          </cell>
          <cell r="CM280">
            <v>856.68</v>
          </cell>
          <cell r="CN280">
            <v>840.85</v>
          </cell>
          <cell r="CO280">
            <v>1477.27</v>
          </cell>
          <cell r="CP280">
            <v>1844.23</v>
          </cell>
          <cell r="CQ280">
            <v>2349.7600000000002</v>
          </cell>
          <cell r="CR280">
            <v>1552.46</v>
          </cell>
          <cell r="CS280">
            <v>8057.66</v>
          </cell>
          <cell r="CT280">
            <v>1134.54</v>
          </cell>
          <cell r="CU280">
            <v>13260.27</v>
          </cell>
          <cell r="CV280">
            <v>3870.94</v>
          </cell>
          <cell r="CW280">
            <v>6408.42</v>
          </cell>
          <cell r="CX280">
            <v>-4313.96</v>
          </cell>
          <cell r="CY280">
            <v>3964.26</v>
          </cell>
          <cell r="CZ280">
            <v>2431.5300000000002</v>
          </cell>
          <cell r="DA280">
            <v>1630.11</v>
          </cell>
          <cell r="DB280">
            <v>2370.3000000000002</v>
          </cell>
          <cell r="DC280">
            <v>3521.08</v>
          </cell>
          <cell r="DD280">
            <v>5005.46</v>
          </cell>
          <cell r="DE280">
            <v>-1308.19</v>
          </cell>
          <cell r="DF280">
            <v>3290.79</v>
          </cell>
          <cell r="DG280">
            <v>5865.67</v>
          </cell>
          <cell r="DH280">
            <v>32736.410000000003</v>
          </cell>
        </row>
        <row r="281">
          <cell r="A281" t="str">
            <v>6739000</v>
          </cell>
          <cell r="B281" t="str">
            <v>6739000</v>
          </cell>
          <cell r="C281" t="str">
            <v>Utilities to BalSht</v>
          </cell>
          <cell r="D281">
            <v>-4481.5200000000004</v>
          </cell>
          <cell r="E281">
            <v>-8.15</v>
          </cell>
          <cell r="F281">
            <v>-4478.99</v>
          </cell>
          <cell r="G281">
            <v>-5.34</v>
          </cell>
          <cell r="H281">
            <v>-5.53</v>
          </cell>
          <cell r="I281">
            <v>-8.14</v>
          </cell>
          <cell r="J281">
            <v>-9.59</v>
          </cell>
          <cell r="K281">
            <v>0</v>
          </cell>
          <cell r="L281">
            <v>-5.18</v>
          </cell>
          <cell r="M281">
            <v>-10.16</v>
          </cell>
          <cell r="N281">
            <v>0</v>
          </cell>
          <cell r="O281">
            <v>-5.08</v>
          </cell>
          <cell r="P281">
            <v>-5.18</v>
          </cell>
          <cell r="Q281">
            <v>-5.04</v>
          </cell>
          <cell r="R281">
            <v>-35.96</v>
          </cell>
          <cell r="S281">
            <v>-5.07</v>
          </cell>
          <cell r="T281">
            <v>-260.33999999999997</v>
          </cell>
          <cell r="U281">
            <v>-173.33</v>
          </cell>
          <cell r="V281">
            <v>-130.44</v>
          </cell>
          <cell r="W281">
            <v>-132.30000000000001</v>
          </cell>
          <cell r="X281">
            <v>-137.49</v>
          </cell>
          <cell r="Y281">
            <v>-137.38999999999999</v>
          </cell>
          <cell r="Z281">
            <v>-137.35</v>
          </cell>
          <cell r="AA281">
            <v>-125094.92</v>
          </cell>
          <cell r="AB281">
            <v>-138.08000000000001</v>
          </cell>
          <cell r="AC281">
            <v>-138.54</v>
          </cell>
          <cell r="AD281">
            <v>-133.13</v>
          </cell>
          <cell r="AE281">
            <v>-133.13999999999999</v>
          </cell>
          <cell r="AF281">
            <v>-9189.2099999999991</v>
          </cell>
          <cell r="AG281">
            <v>-266.24</v>
          </cell>
          <cell r="AH281">
            <v>-135.49</v>
          </cell>
          <cell r="AI281">
            <v>-141.91</v>
          </cell>
          <cell r="AJ281">
            <v>-5.2</v>
          </cell>
          <cell r="AK281">
            <v>-7.47</v>
          </cell>
          <cell r="AL281">
            <v>-5.07</v>
          </cell>
          <cell r="AM281">
            <v>-5.07</v>
          </cell>
          <cell r="AN281">
            <v>-7.43</v>
          </cell>
          <cell r="AO281">
            <v>-6.03</v>
          </cell>
          <cell r="AP281">
            <v>-8.49</v>
          </cell>
          <cell r="AQ281">
            <v>-14.93</v>
          </cell>
          <cell r="AR281">
            <v>-6.4</v>
          </cell>
          <cell r="AS281">
            <v>-499.96</v>
          </cell>
          <cell r="AT281">
            <v>-6.48</v>
          </cell>
          <cell r="AU281">
            <v>-6.25</v>
          </cell>
          <cell r="AV281">
            <v>-221.27</v>
          </cell>
          <cell r="AW281">
            <v>-7550.18</v>
          </cell>
          <cell r="AX281">
            <v>-487.7</v>
          </cell>
          <cell r="AY281">
            <v>-214.64</v>
          </cell>
          <cell r="AZ281">
            <v>-11059.83</v>
          </cell>
          <cell r="BA281">
            <v>-82.36</v>
          </cell>
          <cell r="BB281">
            <v>-1940.76</v>
          </cell>
          <cell r="BC281">
            <v>572.87</v>
          </cell>
          <cell r="BD281">
            <v>-165.04</v>
          </cell>
          <cell r="BE281">
            <v>-252.73</v>
          </cell>
          <cell r="BF281">
            <v>-7264.39</v>
          </cell>
          <cell r="BG281">
            <v>-195.47</v>
          </cell>
          <cell r="BH281">
            <v>-52136.61</v>
          </cell>
          <cell r="BI281">
            <v>-7082.86</v>
          </cell>
          <cell r="BJ281">
            <v>-839.53</v>
          </cell>
          <cell r="BK281">
            <v>-99.13</v>
          </cell>
          <cell r="BL281">
            <v>-5229.2299999999996</v>
          </cell>
          <cell r="BM281">
            <v>-63.4</v>
          </cell>
          <cell r="BN281">
            <v>-1203.19</v>
          </cell>
          <cell r="BO281">
            <v>-87.81</v>
          </cell>
          <cell r="BP281">
            <v>-4992.5</v>
          </cell>
          <cell r="BQ281">
            <v>-2403.25</v>
          </cell>
          <cell r="BR281">
            <v>-4045.79</v>
          </cell>
          <cell r="BS281">
            <v>-5927.36</v>
          </cell>
          <cell r="BT281">
            <v>-3671.55</v>
          </cell>
          <cell r="BU281">
            <v>-4938.47</v>
          </cell>
          <cell r="BV281">
            <v>-3589.58</v>
          </cell>
          <cell r="BW281">
            <v>-4350.41</v>
          </cell>
          <cell r="BX281">
            <v>-4839.62</v>
          </cell>
          <cell r="BY281">
            <v>-5898.09</v>
          </cell>
          <cell r="BZ281">
            <v>-4473.38</v>
          </cell>
          <cell r="CA281">
            <v>-4397.03</v>
          </cell>
          <cell r="CB281">
            <v>-4001.23</v>
          </cell>
          <cell r="CC281">
            <v>-4195.29</v>
          </cell>
          <cell r="CD281">
            <v>-5017.08</v>
          </cell>
          <cell r="CE281">
            <v>-4685.84</v>
          </cell>
          <cell r="CF281">
            <v>-5692.38</v>
          </cell>
          <cell r="CG281">
            <v>-4276.1000000000004</v>
          </cell>
          <cell r="CH281">
            <v>-11217.75</v>
          </cell>
          <cell r="CI281">
            <v>-6359.23</v>
          </cell>
          <cell r="CJ281">
            <v>-6451.39</v>
          </cell>
          <cell r="CK281">
            <v>-8000.49</v>
          </cell>
          <cell r="CL281">
            <v>-4909.33</v>
          </cell>
          <cell r="CM281">
            <v>-9028.7099999999991</v>
          </cell>
          <cell r="CN281">
            <v>-9500.5300000000007</v>
          </cell>
          <cell r="CO281">
            <v>-8620.61</v>
          </cell>
          <cell r="CP281">
            <v>-20779.169999999998</v>
          </cell>
          <cell r="CQ281">
            <v>-14865.6</v>
          </cell>
          <cell r="CR281">
            <v>-12642.8</v>
          </cell>
          <cell r="CS281">
            <v>-14440.88</v>
          </cell>
          <cell r="CT281">
            <v>-46456.03</v>
          </cell>
          <cell r="CU281">
            <v>-20917.5</v>
          </cell>
          <cell r="CV281">
            <v>-11773.84</v>
          </cell>
          <cell r="CW281">
            <v>-11590.87</v>
          </cell>
          <cell r="CX281">
            <v>-10563.38</v>
          </cell>
          <cell r="CY281">
            <v>-22788.2</v>
          </cell>
          <cell r="CZ281">
            <v>-4891.95</v>
          </cell>
          <cell r="DA281">
            <v>-32301.68</v>
          </cell>
          <cell r="DB281">
            <v>-4542.97</v>
          </cell>
          <cell r="DC281">
            <v>-4404.3999999999996</v>
          </cell>
          <cell r="DD281">
            <v>-4690.8900000000003</v>
          </cell>
          <cell r="DE281">
            <v>-460584.16</v>
          </cell>
          <cell r="DF281">
            <v>-11610.64</v>
          </cell>
          <cell r="DG281">
            <v>-11632.73</v>
          </cell>
          <cell r="DH281">
            <v>-591375.71</v>
          </cell>
        </row>
        <row r="282">
          <cell r="A282" t="str">
            <v>6780020</v>
          </cell>
          <cell r="B282" t="str">
            <v>6780020</v>
          </cell>
          <cell r="C282" t="str">
            <v>Misc Bill Ex MtlSale</v>
          </cell>
          <cell r="D282">
            <v>-19918.57</v>
          </cell>
          <cell r="E282">
            <v>-23155.26</v>
          </cell>
          <cell r="F282">
            <v>-18041.55</v>
          </cell>
          <cell r="G282">
            <v>-1248.47</v>
          </cell>
          <cell r="H282">
            <v>-25829</v>
          </cell>
          <cell r="I282">
            <v>-17092.75</v>
          </cell>
          <cell r="J282">
            <v>-30366.15</v>
          </cell>
          <cell r="K282">
            <v>0</v>
          </cell>
          <cell r="L282">
            <v>-13574.4</v>
          </cell>
          <cell r="M282">
            <v>-14021.25</v>
          </cell>
          <cell r="N282">
            <v>-14421.05</v>
          </cell>
          <cell r="O282">
            <v>-11276.9</v>
          </cell>
          <cell r="P282">
            <v>-96</v>
          </cell>
          <cell r="Q282">
            <v>0</v>
          </cell>
          <cell r="R282">
            <v>-62233.55</v>
          </cell>
          <cell r="S282">
            <v>-1472</v>
          </cell>
          <cell r="T282">
            <v>-31357.65</v>
          </cell>
          <cell r="U282">
            <v>-10410.6</v>
          </cell>
          <cell r="V282">
            <v>-4293.6000000000004</v>
          </cell>
          <cell r="W282">
            <v>-10551.7</v>
          </cell>
          <cell r="X282">
            <v>-3344.1</v>
          </cell>
          <cell r="Y282">
            <v>-34312.75</v>
          </cell>
          <cell r="Z282">
            <v>-29056.75</v>
          </cell>
          <cell r="AA282">
            <v>-12343.95</v>
          </cell>
          <cell r="AB282">
            <v>-8394.65</v>
          </cell>
          <cell r="AC282">
            <v>-2894.4</v>
          </cell>
          <cell r="AD282">
            <v>-64921.15</v>
          </cell>
          <cell r="AE282">
            <v>-4216.8999999999996</v>
          </cell>
          <cell r="AF282">
            <v>-77657.95</v>
          </cell>
          <cell r="AG282">
            <v>-10459.15</v>
          </cell>
          <cell r="AH282">
            <v>-3006</v>
          </cell>
          <cell r="AI282">
            <v>-13665.1</v>
          </cell>
          <cell r="AJ282">
            <v>-39087.199999999997</v>
          </cell>
          <cell r="AK282">
            <v>-26559.65</v>
          </cell>
          <cell r="AL282">
            <v>-8182.63</v>
          </cell>
          <cell r="AM282">
            <v>-12216.13</v>
          </cell>
          <cell r="AN282">
            <v>-5086</v>
          </cell>
          <cell r="AO282">
            <v>-28667.15</v>
          </cell>
          <cell r="AP282">
            <v>-6065</v>
          </cell>
          <cell r="AQ282">
            <v>-43566.5</v>
          </cell>
          <cell r="AR282">
            <v>-29775</v>
          </cell>
          <cell r="AS282">
            <v>-8865</v>
          </cell>
          <cell r="AT282">
            <v>-20945</v>
          </cell>
          <cell r="AU282">
            <v>-15809.55</v>
          </cell>
          <cell r="AV282">
            <v>0</v>
          </cell>
          <cell r="AW282">
            <v>-1363.8</v>
          </cell>
          <cell r="AX282">
            <v>-34450</v>
          </cell>
          <cell r="AY282">
            <v>-1470.25</v>
          </cell>
          <cell r="AZ282">
            <v>-326</v>
          </cell>
          <cell r="BA282">
            <v>0</v>
          </cell>
          <cell r="BB282">
            <v>-1268.45</v>
          </cell>
          <cell r="BC282">
            <v>-33161.5</v>
          </cell>
          <cell r="BD282">
            <v>-46608.04</v>
          </cell>
          <cell r="BE282">
            <v>0</v>
          </cell>
          <cell r="BF282">
            <v>-1731.9</v>
          </cell>
          <cell r="BG282">
            <v>-45791.75</v>
          </cell>
          <cell r="BH282">
            <v>-74534</v>
          </cell>
          <cell r="BI282">
            <v>-287.01</v>
          </cell>
          <cell r="BJ282">
            <v>0</v>
          </cell>
          <cell r="BK282">
            <v>213.89</v>
          </cell>
          <cell r="BL282">
            <v>-1042.5999999999999</v>
          </cell>
          <cell r="BM282">
            <v>-1351.1</v>
          </cell>
          <cell r="BN282">
            <v>0</v>
          </cell>
          <cell r="BO282">
            <v>-53581.1</v>
          </cell>
          <cell r="BP282">
            <v>0</v>
          </cell>
          <cell r="BQ282">
            <v>-108136</v>
          </cell>
          <cell r="BR282">
            <v>-39928.949999999997</v>
          </cell>
          <cell r="BS282">
            <v>-12960</v>
          </cell>
          <cell r="BT282">
            <v>-661.6</v>
          </cell>
          <cell r="BU282">
            <v>-17596.87</v>
          </cell>
          <cell r="BV282">
            <v>-3840</v>
          </cell>
          <cell r="BW282">
            <v>-47940</v>
          </cell>
          <cell r="BX282">
            <v>-29753.34</v>
          </cell>
          <cell r="BY282">
            <v>-5918.3</v>
          </cell>
          <cell r="BZ282">
            <v>-79035</v>
          </cell>
          <cell r="CA282">
            <v>-1264.55</v>
          </cell>
          <cell r="CB282">
            <v>735.3</v>
          </cell>
          <cell r="CC282">
            <v>-573.04999999999995</v>
          </cell>
          <cell r="CD282">
            <v>-47047.8</v>
          </cell>
          <cell r="CE282">
            <v>-226.56</v>
          </cell>
          <cell r="CF282">
            <v>-37229.550000000003</v>
          </cell>
          <cell r="CG282">
            <v>-10522</v>
          </cell>
          <cell r="CH282">
            <v>-42081.5</v>
          </cell>
          <cell r="CI282">
            <v>0</v>
          </cell>
          <cell r="CJ282">
            <v>0</v>
          </cell>
          <cell r="CK282">
            <v>0</v>
          </cell>
          <cell r="CL282">
            <v>-32490</v>
          </cell>
          <cell r="CM282">
            <v>0</v>
          </cell>
          <cell r="CN282">
            <v>-67925</v>
          </cell>
          <cell r="CO282">
            <v>-12587</v>
          </cell>
          <cell r="CP282">
            <v>0</v>
          </cell>
          <cell r="CQ282">
            <v>0</v>
          </cell>
          <cell r="CR282">
            <v>-137560</v>
          </cell>
          <cell r="CS282">
            <v>-25256.5</v>
          </cell>
          <cell r="CT282">
            <v>-21506.95</v>
          </cell>
          <cell r="CU282">
            <v>-112385</v>
          </cell>
          <cell r="CV282">
            <v>0</v>
          </cell>
          <cell r="CW282">
            <v>0</v>
          </cell>
          <cell r="CX282">
            <v>0</v>
          </cell>
          <cell r="CY282">
            <v>0</v>
          </cell>
          <cell r="CZ282">
            <v>-1710</v>
          </cell>
          <cell r="DA282">
            <v>0</v>
          </cell>
          <cell r="DB282">
            <v>-33089.19</v>
          </cell>
          <cell r="DC282">
            <v>0</v>
          </cell>
          <cell r="DD282">
            <v>0</v>
          </cell>
          <cell r="DE282">
            <v>0</v>
          </cell>
          <cell r="DF282">
            <v>-136962</v>
          </cell>
          <cell r="DG282">
            <v>0</v>
          </cell>
          <cell r="DH282">
            <v>-171761.19</v>
          </cell>
        </row>
        <row r="283">
          <cell r="A283" t="str">
            <v>6780040</v>
          </cell>
          <cell r="B283" t="str">
            <v>6780040</v>
          </cell>
          <cell r="C283" t="str">
            <v>Dmgd Faclty Billing</v>
          </cell>
          <cell r="D283">
            <v>185206.3</v>
          </cell>
          <cell r="E283">
            <v>20677.919999999998</v>
          </cell>
          <cell r="F283">
            <v>-62019.05</v>
          </cell>
          <cell r="G283">
            <v>-35352.910000000003</v>
          </cell>
          <cell r="H283">
            <v>51380.92</v>
          </cell>
          <cell r="I283">
            <v>-26610.67</v>
          </cell>
          <cell r="J283">
            <v>-76924.94</v>
          </cell>
          <cell r="K283">
            <v>-42186.38</v>
          </cell>
          <cell r="L283">
            <v>-10100.209999999999</v>
          </cell>
          <cell r="M283">
            <v>-29464.85</v>
          </cell>
          <cell r="N283">
            <v>-25741.58</v>
          </cell>
          <cell r="O283">
            <v>-43746.91</v>
          </cell>
          <cell r="P283">
            <v>24565.05</v>
          </cell>
          <cell r="Q283">
            <v>-51131.45</v>
          </cell>
          <cell r="R283">
            <v>-96891.61</v>
          </cell>
          <cell r="S283">
            <v>-30756.76</v>
          </cell>
          <cell r="T283">
            <v>-44437.38</v>
          </cell>
          <cell r="U283">
            <v>-32046.6</v>
          </cell>
          <cell r="V283">
            <v>-17744.650000000001</v>
          </cell>
          <cell r="W283">
            <v>-25125.02</v>
          </cell>
          <cell r="X283">
            <v>23952.19</v>
          </cell>
          <cell r="Y283">
            <v>-37612.25</v>
          </cell>
          <cell r="Z283">
            <v>-37180.910000000003</v>
          </cell>
          <cell r="AA283">
            <v>-127421.75999999999</v>
          </cell>
          <cell r="AB283">
            <v>-38496.86</v>
          </cell>
          <cell r="AC283">
            <v>-12543.69</v>
          </cell>
          <cell r="AD283">
            <v>-43962.19</v>
          </cell>
          <cell r="AE283">
            <v>-39427.370000000003</v>
          </cell>
          <cell r="AF283">
            <v>-7778.84</v>
          </cell>
          <cell r="AG283">
            <v>-125545.84</v>
          </cell>
          <cell r="AH283">
            <v>3596.23</v>
          </cell>
          <cell r="AI283">
            <v>22783.24</v>
          </cell>
          <cell r="AJ283">
            <v>-106393.7</v>
          </cell>
          <cell r="AK283">
            <v>-133099.81</v>
          </cell>
          <cell r="AL283">
            <v>-52250.57</v>
          </cell>
          <cell r="AM283">
            <v>-67705.2</v>
          </cell>
          <cell r="AN283">
            <v>-23239.16</v>
          </cell>
          <cell r="AO283">
            <v>-35364.11</v>
          </cell>
          <cell r="AP283">
            <v>-230422.62</v>
          </cell>
          <cell r="AQ283">
            <v>145888.79999999999</v>
          </cell>
          <cell r="AR283">
            <v>-68297.19</v>
          </cell>
          <cell r="AS283">
            <v>-25271.040000000001</v>
          </cell>
          <cell r="AT283">
            <v>10790.61</v>
          </cell>
          <cell r="AU283">
            <v>80139.47</v>
          </cell>
          <cell r="AV283">
            <v>-36115.839999999997</v>
          </cell>
          <cell r="AW283">
            <v>-127152.89</v>
          </cell>
          <cell r="AX283">
            <v>19301.5</v>
          </cell>
          <cell r="AY283">
            <v>-241846.27</v>
          </cell>
          <cell r="AZ283">
            <v>24834.94</v>
          </cell>
          <cell r="BA283">
            <v>-50747.74</v>
          </cell>
          <cell r="BB283">
            <v>-60514.78</v>
          </cell>
          <cell r="BC283">
            <v>-115303.62</v>
          </cell>
          <cell r="BD283">
            <v>-40473.94</v>
          </cell>
          <cell r="BE283">
            <v>-51231.16</v>
          </cell>
          <cell r="BF283">
            <v>-122511.52</v>
          </cell>
          <cell r="BG283">
            <v>-139039.94</v>
          </cell>
          <cell r="BH283">
            <v>-69582.429999999993</v>
          </cell>
          <cell r="BI283">
            <v>-4463.28</v>
          </cell>
          <cell r="BJ283">
            <v>-3857.55</v>
          </cell>
          <cell r="BK283">
            <v>-175220.58</v>
          </cell>
          <cell r="BL283">
            <v>-22386.79</v>
          </cell>
          <cell r="BM283">
            <v>-64029.42</v>
          </cell>
          <cell r="BN283">
            <v>-97432.2</v>
          </cell>
          <cell r="BO283">
            <v>-89058.14</v>
          </cell>
          <cell r="BP283">
            <v>-42857.11</v>
          </cell>
          <cell r="BQ283">
            <v>-45772.639999999999</v>
          </cell>
          <cell r="BR283">
            <v>-114816.58</v>
          </cell>
          <cell r="BS283">
            <v>-13020.95</v>
          </cell>
          <cell r="BT283">
            <v>-130794.84</v>
          </cell>
          <cell r="BU283">
            <v>-19817.52</v>
          </cell>
          <cell r="BV283">
            <v>-75682.19</v>
          </cell>
          <cell r="BW283">
            <v>-71333.039999999994</v>
          </cell>
          <cell r="BX283">
            <v>-20416.759999999998</v>
          </cell>
          <cell r="BY283">
            <v>-53993.99</v>
          </cell>
          <cell r="BZ283">
            <v>-46214.5</v>
          </cell>
          <cell r="CA283">
            <v>-141281.96</v>
          </cell>
          <cell r="CB283">
            <v>-205545.59</v>
          </cell>
          <cell r="CC283">
            <v>-180735.1</v>
          </cell>
          <cell r="CD283">
            <v>-83813.75</v>
          </cell>
          <cell r="CE283">
            <v>-9950.61</v>
          </cell>
          <cell r="CF283">
            <v>-83191.070000000007</v>
          </cell>
          <cell r="CG283">
            <v>19442.89</v>
          </cell>
          <cell r="CH283">
            <v>-116876.74</v>
          </cell>
          <cell r="CI283">
            <v>14461.41</v>
          </cell>
          <cell r="CJ283">
            <v>-18379.419999999998</v>
          </cell>
          <cell r="CK283">
            <v>-110492.69</v>
          </cell>
          <cell r="CL283">
            <v>-15737.33</v>
          </cell>
          <cell r="CM283">
            <v>-132804.34</v>
          </cell>
          <cell r="CN283">
            <v>-21256.46</v>
          </cell>
          <cell r="CO283">
            <v>-130532.43</v>
          </cell>
          <cell r="CP283">
            <v>-49612.9</v>
          </cell>
          <cell r="CQ283">
            <v>-272228.08</v>
          </cell>
          <cell r="CR283">
            <v>-44816.65</v>
          </cell>
          <cell r="CS283">
            <v>-24077.27</v>
          </cell>
          <cell r="CT283">
            <v>-88668.09</v>
          </cell>
          <cell r="CU283">
            <v>-7388.53</v>
          </cell>
          <cell r="CV283">
            <v>-82048.039999999994</v>
          </cell>
          <cell r="CW283">
            <v>-111546.69</v>
          </cell>
          <cell r="CX283">
            <v>-59414.31</v>
          </cell>
          <cell r="CY283">
            <v>-101246.36</v>
          </cell>
          <cell r="CZ283">
            <v>-62090.69</v>
          </cell>
          <cell r="DA283">
            <v>2447.17</v>
          </cell>
          <cell r="DB283">
            <v>-230045.9</v>
          </cell>
          <cell r="DC283">
            <v>-246742.14</v>
          </cell>
          <cell r="DD283">
            <v>-49813.599999999999</v>
          </cell>
          <cell r="DE283">
            <v>-87744.35</v>
          </cell>
          <cell r="DF283">
            <v>31297.51</v>
          </cell>
          <cell r="DG283">
            <v>-531274.30000000005</v>
          </cell>
          <cell r="DH283">
            <v>-1528221.7</v>
          </cell>
        </row>
        <row r="284">
          <cell r="A284" t="str">
            <v>6780800</v>
          </cell>
          <cell r="B284" t="str">
            <v>6780800</v>
          </cell>
          <cell r="C284" t="str">
            <v>Misc Bill Ex General</v>
          </cell>
          <cell r="D284">
            <v>0</v>
          </cell>
          <cell r="E284">
            <v>0</v>
          </cell>
          <cell r="F284">
            <v>0</v>
          </cell>
          <cell r="G284">
            <v>-26.62</v>
          </cell>
          <cell r="H284">
            <v>0</v>
          </cell>
          <cell r="I284">
            <v>-50690.51</v>
          </cell>
          <cell r="J284">
            <v>0</v>
          </cell>
          <cell r="K284">
            <v>-59737.5</v>
          </cell>
          <cell r="L284">
            <v>-17083.330000000002</v>
          </cell>
          <cell r="M284">
            <v>-53.17</v>
          </cell>
          <cell r="N284">
            <v>0</v>
          </cell>
          <cell r="O284">
            <v>-4559.6000000000004</v>
          </cell>
          <cell r="P284">
            <v>0</v>
          </cell>
          <cell r="Q284">
            <v>0</v>
          </cell>
          <cell r="R284">
            <v>-3020.5</v>
          </cell>
          <cell r="S284">
            <v>-31109.47</v>
          </cell>
          <cell r="T284">
            <v>-588.36</v>
          </cell>
          <cell r="U284">
            <v>-588.36</v>
          </cell>
          <cell r="V284">
            <v>-60502.8</v>
          </cell>
          <cell r="W284">
            <v>-2995.87</v>
          </cell>
          <cell r="X284">
            <v>-2349.62</v>
          </cell>
          <cell r="Y284">
            <v>-3037.83</v>
          </cell>
          <cell r="Z284">
            <v>-943.51</v>
          </cell>
          <cell r="AA284">
            <v>0</v>
          </cell>
          <cell r="AB284">
            <v>0</v>
          </cell>
          <cell r="AC284">
            <v>-46897.38</v>
          </cell>
          <cell r="AD284">
            <v>-615.24</v>
          </cell>
          <cell r="AE284">
            <v>-33506.86</v>
          </cell>
          <cell r="AF284">
            <v>-566363.25</v>
          </cell>
          <cell r="AG284">
            <v>-2923.93</v>
          </cell>
          <cell r="AH284">
            <v>-746.21</v>
          </cell>
          <cell r="AI284">
            <v>-24611.72</v>
          </cell>
          <cell r="AJ284">
            <v>24865.68</v>
          </cell>
          <cell r="AK284">
            <v>-687.49</v>
          </cell>
          <cell r="AL284">
            <v>-98.36</v>
          </cell>
          <cell r="AM284">
            <v>-27663.69</v>
          </cell>
          <cell r="AN284">
            <v>-1343.27</v>
          </cell>
          <cell r="AO284">
            <v>-42.1</v>
          </cell>
          <cell r="AP284">
            <v>-321.29000000000002</v>
          </cell>
          <cell r="AQ284">
            <v>-283.56</v>
          </cell>
          <cell r="AR284">
            <v>-358201.59</v>
          </cell>
          <cell r="AS284">
            <v>67654.94</v>
          </cell>
          <cell r="AT284">
            <v>-59471.29</v>
          </cell>
          <cell r="AU284">
            <v>-404.89</v>
          </cell>
          <cell r="AV284">
            <v>-228.4</v>
          </cell>
          <cell r="AW284">
            <v>-911.99</v>
          </cell>
          <cell r="AX284">
            <v>0</v>
          </cell>
          <cell r="AY284">
            <v>-224.01</v>
          </cell>
          <cell r="AZ284">
            <v>-149.69</v>
          </cell>
          <cell r="BA284">
            <v>59014.99</v>
          </cell>
          <cell r="BB284">
            <v>-7640.01</v>
          </cell>
          <cell r="BC284">
            <v>-5335.77</v>
          </cell>
          <cell r="BD284">
            <v>-387613.36</v>
          </cell>
          <cell r="BE284">
            <v>236979.51</v>
          </cell>
          <cell r="BF284">
            <v>-4579</v>
          </cell>
          <cell r="BG284">
            <v>-22746.98</v>
          </cell>
          <cell r="BH284">
            <v>97980.66</v>
          </cell>
          <cell r="BI284">
            <v>-624.96</v>
          </cell>
          <cell r="BJ284">
            <v>-1755.49</v>
          </cell>
          <cell r="BK284">
            <v>-2089.9299999999998</v>
          </cell>
          <cell r="BL284">
            <v>-3957.31</v>
          </cell>
          <cell r="BM284">
            <v>-815.89</v>
          </cell>
          <cell r="BN284">
            <v>-1218.1099999999999</v>
          </cell>
          <cell r="BO284">
            <v>-9572.4699999999993</v>
          </cell>
          <cell r="BP284">
            <v>-31408.63</v>
          </cell>
          <cell r="BQ284">
            <v>-1033.0899999999999</v>
          </cell>
          <cell r="BR284">
            <v>-35972.97</v>
          </cell>
          <cell r="BS284">
            <v>-1045.04</v>
          </cell>
          <cell r="BT284">
            <v>-988.77</v>
          </cell>
          <cell r="BU284">
            <v>-681.46</v>
          </cell>
          <cell r="BV284">
            <v>-2280.9499999999998</v>
          </cell>
          <cell r="BW284">
            <v>0</v>
          </cell>
          <cell r="BX284">
            <v>-62.19</v>
          </cell>
          <cell r="BY284">
            <v>0</v>
          </cell>
          <cell r="BZ284">
            <v>-7931.33</v>
          </cell>
          <cell r="CA284">
            <v>-712.3</v>
          </cell>
          <cell r="CB284">
            <v>-19212.36</v>
          </cell>
          <cell r="CC284">
            <v>-73882.7</v>
          </cell>
          <cell r="CD284">
            <v>-2844.76</v>
          </cell>
          <cell r="CE284">
            <v>-19714.36</v>
          </cell>
          <cell r="CF284">
            <v>-38169.47</v>
          </cell>
          <cell r="CG284">
            <v>-10657.67</v>
          </cell>
          <cell r="CH284">
            <v>-746732.71</v>
          </cell>
          <cell r="CI284">
            <v>15821.74</v>
          </cell>
          <cell r="CJ284">
            <v>-1504.65</v>
          </cell>
          <cell r="CK284">
            <v>-1260.1099999999999</v>
          </cell>
          <cell r="CL284">
            <v>-573.03</v>
          </cell>
          <cell r="CM284">
            <v>-57097.83</v>
          </cell>
          <cell r="CN284">
            <v>-343.91</v>
          </cell>
          <cell r="CO284">
            <v>-913.94</v>
          </cell>
          <cell r="CP284">
            <v>-686.18</v>
          </cell>
          <cell r="CQ284">
            <v>-3438.63</v>
          </cell>
          <cell r="CR284">
            <v>-633.44000000000005</v>
          </cell>
          <cell r="CS284">
            <v>-777.69</v>
          </cell>
          <cell r="CT284">
            <v>45000.42</v>
          </cell>
          <cell r="CU284">
            <v>-671.61</v>
          </cell>
          <cell r="CV284">
            <v>-1505.86</v>
          </cell>
          <cell r="CW284">
            <v>-1128.27</v>
          </cell>
          <cell r="CX284">
            <v>-97.91</v>
          </cell>
          <cell r="CY284">
            <v>-674.22</v>
          </cell>
          <cell r="CZ284">
            <v>-310.98</v>
          </cell>
          <cell r="DA284">
            <v>-10882.65</v>
          </cell>
          <cell r="DB284">
            <v>-4797.8999999999996</v>
          </cell>
          <cell r="DC284">
            <v>-7086</v>
          </cell>
          <cell r="DD284">
            <v>-3924.34</v>
          </cell>
          <cell r="DE284">
            <v>-179.77</v>
          </cell>
          <cell r="DF284">
            <v>0</v>
          </cell>
          <cell r="DG284">
            <v>-34536.46</v>
          </cell>
          <cell r="DH284">
            <v>-65124.36</v>
          </cell>
        </row>
        <row r="285">
          <cell r="A285" t="str">
            <v>6789000</v>
          </cell>
          <cell r="B285" t="str">
            <v>6789000</v>
          </cell>
          <cell r="C285" t="str">
            <v>Misc Bill Bal Sheet</v>
          </cell>
          <cell r="D285">
            <v>19918.57</v>
          </cell>
          <cell r="E285">
            <v>23155.26</v>
          </cell>
          <cell r="F285">
            <v>18041.55</v>
          </cell>
          <cell r="G285">
            <v>1248.47</v>
          </cell>
          <cell r="H285">
            <v>25829</v>
          </cell>
          <cell r="I285">
            <v>67783.259999999995</v>
          </cell>
          <cell r="J285">
            <v>30366.15</v>
          </cell>
          <cell r="K285">
            <v>0</v>
          </cell>
          <cell r="L285">
            <v>13574.4</v>
          </cell>
          <cell r="M285">
            <v>14021.25</v>
          </cell>
          <cell r="N285">
            <v>14421.05</v>
          </cell>
          <cell r="O285">
            <v>11276.9</v>
          </cell>
          <cell r="P285">
            <v>96</v>
          </cell>
          <cell r="Q285">
            <v>0</v>
          </cell>
          <cell r="R285">
            <v>62233.55</v>
          </cell>
          <cell r="S285">
            <v>24404.89</v>
          </cell>
          <cell r="T285">
            <v>31357.65</v>
          </cell>
          <cell r="U285">
            <v>24593.01</v>
          </cell>
          <cell r="V285">
            <v>64208.04</v>
          </cell>
          <cell r="W285">
            <v>10551.7</v>
          </cell>
          <cell r="X285">
            <v>3344.1</v>
          </cell>
          <cell r="Y285">
            <v>34312.75</v>
          </cell>
          <cell r="Z285">
            <v>29056.75</v>
          </cell>
          <cell r="AA285">
            <v>40426.480000000003</v>
          </cell>
          <cell r="AB285">
            <v>8394.65</v>
          </cell>
          <cell r="AC285">
            <v>49791.78</v>
          </cell>
          <cell r="AD285">
            <v>64921.15</v>
          </cell>
          <cell r="AE285">
            <v>29511.31</v>
          </cell>
          <cell r="AF285">
            <v>77657.95</v>
          </cell>
          <cell r="AG285">
            <v>10459.15</v>
          </cell>
          <cell r="AH285">
            <v>3006</v>
          </cell>
          <cell r="AI285">
            <v>37784.51</v>
          </cell>
          <cell r="AJ285">
            <v>13792.79</v>
          </cell>
          <cell r="AK285">
            <v>26559.65</v>
          </cell>
          <cell r="AL285">
            <v>4806.5</v>
          </cell>
          <cell r="AM285">
            <v>-15531.7</v>
          </cell>
          <cell r="AN285">
            <v>5086</v>
          </cell>
          <cell r="AO285">
            <v>28667.15</v>
          </cell>
          <cell r="AP285">
            <v>72382.8</v>
          </cell>
          <cell r="AQ285">
            <v>43566.5</v>
          </cell>
          <cell r="AR285">
            <v>386538.41</v>
          </cell>
          <cell r="AS285">
            <v>-63642.19</v>
          </cell>
          <cell r="AT285">
            <v>80021.759999999995</v>
          </cell>
          <cell r="AU285">
            <v>15809.55</v>
          </cell>
          <cell r="AV285">
            <v>0</v>
          </cell>
          <cell r="AW285">
            <v>1363.8</v>
          </cell>
          <cell r="AX285">
            <v>34450</v>
          </cell>
          <cell r="AY285">
            <v>1470.25</v>
          </cell>
          <cell r="AZ285">
            <v>326</v>
          </cell>
          <cell r="BA285">
            <v>-59076.76</v>
          </cell>
          <cell r="BB285">
            <v>1268.45</v>
          </cell>
          <cell r="BC285">
            <v>33161.5</v>
          </cell>
          <cell r="BD285">
            <v>433929.75</v>
          </cell>
          <cell r="BE285">
            <v>-243123.01</v>
          </cell>
          <cell r="BF285">
            <v>1731.9</v>
          </cell>
          <cell r="BG285">
            <v>67487.81</v>
          </cell>
          <cell r="BH285">
            <v>-31354.43</v>
          </cell>
          <cell r="BI285">
            <v>500.9</v>
          </cell>
          <cell r="BJ285">
            <v>0</v>
          </cell>
          <cell r="BK285">
            <v>0</v>
          </cell>
          <cell r="BL285">
            <v>1042.5999999999999</v>
          </cell>
          <cell r="BM285">
            <v>1351.1</v>
          </cell>
          <cell r="BN285">
            <v>0</v>
          </cell>
          <cell r="BO285">
            <v>53581.1</v>
          </cell>
          <cell r="BP285">
            <v>24180.68</v>
          </cell>
          <cell r="BQ285">
            <v>108136</v>
          </cell>
          <cell r="BR285">
            <v>75588.679999999993</v>
          </cell>
          <cell r="BS285">
            <v>12960</v>
          </cell>
          <cell r="BT285">
            <v>42921.01</v>
          </cell>
          <cell r="BU285">
            <v>17596.87</v>
          </cell>
          <cell r="BV285">
            <v>3840</v>
          </cell>
          <cell r="BW285">
            <v>47940</v>
          </cell>
          <cell r="BX285">
            <v>29753.34</v>
          </cell>
          <cell r="BY285">
            <v>5918.3</v>
          </cell>
          <cell r="BZ285">
            <v>79035</v>
          </cell>
          <cell r="CA285">
            <v>1264.55</v>
          </cell>
          <cell r="CB285">
            <v>-735.3</v>
          </cell>
          <cell r="CC285">
            <v>12532.23</v>
          </cell>
          <cell r="CD285">
            <v>47047.8</v>
          </cell>
          <cell r="CE285">
            <v>16273.92</v>
          </cell>
          <cell r="CF285">
            <v>73721.539999999994</v>
          </cell>
          <cell r="CG285">
            <v>10522</v>
          </cell>
          <cell r="CH285">
            <v>786710</v>
          </cell>
          <cell r="CI285">
            <v>-16273.92</v>
          </cell>
          <cell r="CJ285">
            <v>0</v>
          </cell>
          <cell r="CK285">
            <v>0</v>
          </cell>
          <cell r="CL285">
            <v>32490</v>
          </cell>
          <cell r="CM285">
            <v>33399.33</v>
          </cell>
          <cell r="CN285">
            <v>67925</v>
          </cell>
          <cell r="CO285">
            <v>12587</v>
          </cell>
          <cell r="CP285">
            <v>0</v>
          </cell>
          <cell r="CQ285">
            <v>0</v>
          </cell>
          <cell r="CR285">
            <v>144750.03</v>
          </cell>
          <cell r="CS285">
            <v>25256.5</v>
          </cell>
          <cell r="CT285">
            <v>-25221.7</v>
          </cell>
          <cell r="CU285">
            <v>112385</v>
          </cell>
          <cell r="CV285">
            <v>0</v>
          </cell>
          <cell r="CW285">
            <v>0</v>
          </cell>
          <cell r="CX285">
            <v>0</v>
          </cell>
          <cell r="CY285">
            <v>0</v>
          </cell>
          <cell r="CZ285">
            <v>1710</v>
          </cell>
          <cell r="DA285">
            <v>0</v>
          </cell>
          <cell r="DB285">
            <v>37887.089999999997</v>
          </cell>
          <cell r="DC285">
            <v>0</v>
          </cell>
          <cell r="DD285">
            <v>0</v>
          </cell>
          <cell r="DE285">
            <v>0</v>
          </cell>
          <cell r="DF285">
            <v>136962</v>
          </cell>
          <cell r="DG285">
            <v>25347.040000000001</v>
          </cell>
          <cell r="DH285">
            <v>201906.13</v>
          </cell>
        </row>
        <row r="286">
          <cell r="A286" t="str">
            <v>6790010</v>
          </cell>
          <cell r="B286" t="str">
            <v>6790010</v>
          </cell>
          <cell r="C286" t="str">
            <v>Bad Debt Exp CIS</v>
          </cell>
          <cell r="D286">
            <v>97804.19</v>
          </cell>
          <cell r="E286">
            <v>82692.84</v>
          </cell>
          <cell r="F286">
            <v>70189.19</v>
          </cell>
          <cell r="G286">
            <v>59875.16</v>
          </cell>
          <cell r="H286">
            <v>53558.16</v>
          </cell>
          <cell r="I286">
            <v>58082.75</v>
          </cell>
          <cell r="J286">
            <v>54404.7</v>
          </cell>
          <cell r="K286">
            <v>51660.88</v>
          </cell>
          <cell r="L286">
            <v>70514.58</v>
          </cell>
          <cell r="M286">
            <v>59189.55</v>
          </cell>
          <cell r="N286">
            <v>65188.66</v>
          </cell>
          <cell r="O286">
            <v>85258.13</v>
          </cell>
          <cell r="P286">
            <v>93028.45</v>
          </cell>
          <cell r="Q286">
            <v>107974.73</v>
          </cell>
          <cell r="R286">
            <v>83578.3</v>
          </cell>
          <cell r="S286">
            <v>68383.14</v>
          </cell>
          <cell r="T286">
            <v>60045.99</v>
          </cell>
          <cell r="U286">
            <v>62134.94</v>
          </cell>
          <cell r="V286">
            <v>58948.7</v>
          </cell>
          <cell r="W286">
            <v>55054.61</v>
          </cell>
          <cell r="X286">
            <v>51768.56</v>
          </cell>
          <cell r="Y286">
            <v>51341.64</v>
          </cell>
          <cell r="Z286">
            <v>53788.18</v>
          </cell>
          <cell r="AA286">
            <v>59504.91</v>
          </cell>
          <cell r="AB286">
            <v>74274.12</v>
          </cell>
          <cell r="AC286">
            <v>78933.679999999993</v>
          </cell>
          <cell r="AD286">
            <v>62765.72</v>
          </cell>
          <cell r="AE286">
            <v>54382.35</v>
          </cell>
          <cell r="AF286">
            <v>46770.37</v>
          </cell>
          <cell r="AG286">
            <v>45252.35</v>
          </cell>
          <cell r="AH286">
            <v>44995.9</v>
          </cell>
          <cell r="AI286">
            <v>45495.18</v>
          </cell>
          <cell r="AJ286">
            <v>49920.85</v>
          </cell>
          <cell r="AK286">
            <v>50283.05</v>
          </cell>
          <cell r="AL286">
            <v>57802.77</v>
          </cell>
          <cell r="AM286">
            <v>-682282.52</v>
          </cell>
          <cell r="AN286">
            <v>76995.02</v>
          </cell>
          <cell r="AO286">
            <v>54207.81</v>
          </cell>
          <cell r="AP286">
            <v>145179.68</v>
          </cell>
          <cell r="AQ286">
            <v>165397.71</v>
          </cell>
          <cell r="AR286">
            <v>46453.84</v>
          </cell>
          <cell r="AS286">
            <v>68074.42</v>
          </cell>
          <cell r="AT286">
            <v>154655.26</v>
          </cell>
          <cell r="AU286">
            <v>195006.49</v>
          </cell>
          <cell r="AV286">
            <v>289967.14</v>
          </cell>
          <cell r="AW286">
            <v>240698.39</v>
          </cell>
          <cell r="AX286">
            <v>112863.83</v>
          </cell>
          <cell r="AY286">
            <v>58467.89</v>
          </cell>
          <cell r="AZ286">
            <v>168961.33</v>
          </cell>
          <cell r="BA286">
            <v>-38525.449999999997</v>
          </cell>
          <cell r="BB286">
            <v>43301.16</v>
          </cell>
          <cell r="BC286">
            <v>143130.59</v>
          </cell>
          <cell r="BD286">
            <v>143320.99</v>
          </cell>
          <cell r="BE286">
            <v>90887.9</v>
          </cell>
          <cell r="BF286">
            <v>145585.75</v>
          </cell>
          <cell r="BG286">
            <v>126038.48</v>
          </cell>
          <cell r="BH286">
            <v>107666.72</v>
          </cell>
          <cell r="BI286">
            <v>116781.94</v>
          </cell>
          <cell r="BJ286">
            <v>134630.57</v>
          </cell>
          <cell r="BK286">
            <v>247068.93</v>
          </cell>
          <cell r="BL286">
            <v>138773.31</v>
          </cell>
          <cell r="BM286">
            <v>81454.31</v>
          </cell>
          <cell r="BN286">
            <v>159889.56</v>
          </cell>
          <cell r="BO286">
            <v>233621</v>
          </cell>
          <cell r="BP286">
            <v>86929.16</v>
          </cell>
          <cell r="BQ286">
            <v>63624.33</v>
          </cell>
          <cell r="BR286">
            <v>75912.66</v>
          </cell>
          <cell r="BS286">
            <v>75049.919999999998</v>
          </cell>
          <cell r="BT286">
            <v>110212.54</v>
          </cell>
          <cell r="BU286">
            <v>69666.13</v>
          </cell>
          <cell r="BV286">
            <v>82098.64</v>
          </cell>
          <cell r="BW286">
            <v>86964.55</v>
          </cell>
          <cell r="BX286">
            <v>123636.72</v>
          </cell>
          <cell r="BY286">
            <v>7329.83</v>
          </cell>
          <cell r="BZ286">
            <v>176173.92</v>
          </cell>
          <cell r="CA286">
            <v>224333.44</v>
          </cell>
          <cell r="CB286">
            <v>232939.77</v>
          </cell>
          <cell r="CC286">
            <v>265926.84999999998</v>
          </cell>
          <cell r="CD286">
            <v>203420.81</v>
          </cell>
          <cell r="CE286">
            <v>-322058.40000000002</v>
          </cell>
          <cell r="CF286">
            <v>169282.07</v>
          </cell>
          <cell r="CG286">
            <v>893944.83</v>
          </cell>
          <cell r="CH286">
            <v>204824.7</v>
          </cell>
          <cell r="CI286">
            <v>-313308.84000000003</v>
          </cell>
          <cell r="CJ286">
            <v>282197.19</v>
          </cell>
          <cell r="CK286">
            <v>218948.86</v>
          </cell>
          <cell r="CL286">
            <v>-291477.07</v>
          </cell>
          <cell r="CM286">
            <v>211401.44</v>
          </cell>
          <cell r="CN286">
            <v>178845.64</v>
          </cell>
          <cell r="CO286">
            <v>128740.2</v>
          </cell>
          <cell r="CP286">
            <v>172822.22</v>
          </cell>
          <cell r="CQ286">
            <v>163962.43</v>
          </cell>
          <cell r="CR286">
            <v>148518.26</v>
          </cell>
          <cell r="CS286">
            <v>191030.26</v>
          </cell>
          <cell r="CT286">
            <v>45370.22</v>
          </cell>
          <cell r="CU286">
            <v>122363.13</v>
          </cell>
          <cell r="CV286">
            <v>142723.4</v>
          </cell>
          <cell r="CW286">
            <v>32303.99</v>
          </cell>
          <cell r="CX286">
            <v>104964.45</v>
          </cell>
          <cell r="CY286">
            <v>2052.12</v>
          </cell>
          <cell r="CZ286">
            <v>124809.87</v>
          </cell>
          <cell r="DA286">
            <v>168268.32</v>
          </cell>
          <cell r="DB286">
            <v>115013.96</v>
          </cell>
          <cell r="DC286">
            <v>209525.8</v>
          </cell>
          <cell r="DD286">
            <v>110156.43</v>
          </cell>
          <cell r="DE286">
            <v>108616.66</v>
          </cell>
          <cell r="DF286">
            <v>36241.58</v>
          </cell>
          <cell r="DG286">
            <v>-163884.82999999999</v>
          </cell>
          <cell r="DH286">
            <v>990791.74999999988</v>
          </cell>
        </row>
        <row r="287">
          <cell r="A287" t="str">
            <v>6790020</v>
          </cell>
          <cell r="B287" t="str">
            <v>6790020</v>
          </cell>
          <cell r="C287" t="str">
            <v>Bad Debt Exp ARM</v>
          </cell>
          <cell r="D287">
            <v>0</v>
          </cell>
          <cell r="E287">
            <v>0</v>
          </cell>
          <cell r="F287">
            <v>0</v>
          </cell>
          <cell r="G287">
            <v>5850</v>
          </cell>
          <cell r="H287">
            <v>600</v>
          </cell>
          <cell r="I287">
            <v>-4387.5</v>
          </cell>
          <cell r="J287">
            <v>-2062.5</v>
          </cell>
          <cell r="K287">
            <v>0</v>
          </cell>
          <cell r="L287">
            <v>0</v>
          </cell>
          <cell r="M287">
            <v>0</v>
          </cell>
          <cell r="N287">
            <v>0</v>
          </cell>
          <cell r="O287">
            <v>0</v>
          </cell>
          <cell r="P287">
            <v>0</v>
          </cell>
          <cell r="Q287">
            <v>0</v>
          </cell>
          <cell r="R287">
            <v>0</v>
          </cell>
          <cell r="S287">
            <v>0</v>
          </cell>
          <cell r="T287">
            <v>0</v>
          </cell>
          <cell r="U287">
            <v>0</v>
          </cell>
          <cell r="V287">
            <v>0</v>
          </cell>
          <cell r="W287">
            <v>1060.7</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50000</v>
          </cell>
          <cell r="AN287">
            <v>0</v>
          </cell>
          <cell r="AO287">
            <v>0</v>
          </cell>
          <cell r="AP287">
            <v>0</v>
          </cell>
          <cell r="AQ287">
            <v>0</v>
          </cell>
          <cell r="AR287">
            <v>0</v>
          </cell>
          <cell r="AS287">
            <v>0</v>
          </cell>
          <cell r="AT287">
            <v>0</v>
          </cell>
          <cell r="AU287">
            <v>0</v>
          </cell>
          <cell r="AV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row>
        <row r="288">
          <cell r="A288" t="str">
            <v>6790030</v>
          </cell>
          <cell r="B288" t="str">
            <v>6790030</v>
          </cell>
          <cell r="C288" t="str">
            <v>Director's Expenses</v>
          </cell>
          <cell r="BL288">
            <v>0</v>
          </cell>
          <cell r="BM288">
            <v>0</v>
          </cell>
          <cell r="BN288">
            <v>0</v>
          </cell>
          <cell r="BO288">
            <v>0</v>
          </cell>
          <cell r="BP288">
            <v>0</v>
          </cell>
          <cell r="BQ288">
            <v>0</v>
          </cell>
          <cell r="BR288">
            <v>0</v>
          </cell>
          <cell r="BS288">
            <v>38.86</v>
          </cell>
          <cell r="BT288">
            <v>15.73</v>
          </cell>
          <cell r="BU288">
            <v>0</v>
          </cell>
          <cell r="BV288">
            <v>0</v>
          </cell>
          <cell r="BW288">
            <v>0</v>
          </cell>
          <cell r="BX288">
            <v>0</v>
          </cell>
          <cell r="BY288">
            <v>0</v>
          </cell>
          <cell r="BZ288">
            <v>0</v>
          </cell>
          <cell r="CA288">
            <v>0</v>
          </cell>
          <cell r="CB288">
            <v>0</v>
          </cell>
          <cell r="CC288">
            <v>57347.55</v>
          </cell>
          <cell r="CD288">
            <v>0</v>
          </cell>
          <cell r="CE288">
            <v>0</v>
          </cell>
          <cell r="CF288">
            <v>0</v>
          </cell>
          <cell r="CG288">
            <v>20645.12</v>
          </cell>
          <cell r="CH288">
            <v>0</v>
          </cell>
          <cell r="CI288">
            <v>28502.76</v>
          </cell>
          <cell r="CJ288">
            <v>274.06</v>
          </cell>
          <cell r="CK288">
            <v>0</v>
          </cell>
          <cell r="CL288">
            <v>0</v>
          </cell>
          <cell r="CM288">
            <v>28664.74</v>
          </cell>
          <cell r="CN288">
            <v>9587.81</v>
          </cell>
          <cell r="CO288">
            <v>28531.64</v>
          </cell>
          <cell r="CP288">
            <v>0</v>
          </cell>
          <cell r="CQ288">
            <v>0</v>
          </cell>
          <cell r="CR288">
            <v>28535.07</v>
          </cell>
          <cell r="CS288">
            <v>0</v>
          </cell>
          <cell r="CT288">
            <v>0</v>
          </cell>
          <cell r="CU288">
            <v>28535.07</v>
          </cell>
          <cell r="CV288">
            <v>0</v>
          </cell>
          <cell r="CW288">
            <v>0</v>
          </cell>
          <cell r="CX288">
            <v>32436</v>
          </cell>
          <cell r="CY288">
            <v>0</v>
          </cell>
          <cell r="CZ288">
            <v>0</v>
          </cell>
          <cell r="DA288">
            <v>0</v>
          </cell>
          <cell r="DB288">
            <v>32436</v>
          </cell>
          <cell r="DC288">
            <v>0</v>
          </cell>
          <cell r="DD288">
            <v>32436</v>
          </cell>
          <cell r="DE288">
            <v>0</v>
          </cell>
          <cell r="DF288">
            <v>0</v>
          </cell>
          <cell r="DG288">
            <v>31916.83</v>
          </cell>
          <cell r="DH288">
            <v>129224.83</v>
          </cell>
        </row>
        <row r="289">
          <cell r="A289" t="str">
            <v>6790040</v>
          </cell>
          <cell r="B289" t="str">
            <v>6790040</v>
          </cell>
          <cell r="C289" t="str">
            <v>Director RestrStk Ex</v>
          </cell>
          <cell r="D289">
            <v>16.440000000000001</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-1780.93</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row>
        <row r="290">
          <cell r="A290" t="str">
            <v>6790055</v>
          </cell>
          <cell r="B290" t="str">
            <v>6790055</v>
          </cell>
          <cell r="C290" t="str">
            <v>Economic Development</v>
          </cell>
          <cell r="D290">
            <v>20000</v>
          </cell>
          <cell r="E290">
            <v>40850</v>
          </cell>
          <cell r="F290">
            <v>63684</v>
          </cell>
          <cell r="G290">
            <v>35925</v>
          </cell>
          <cell r="H290">
            <v>51032</v>
          </cell>
          <cell r="I290">
            <v>1675</v>
          </cell>
          <cell r="J290">
            <v>1710</v>
          </cell>
          <cell r="K290">
            <v>11600</v>
          </cell>
          <cell r="L290">
            <v>23320</v>
          </cell>
          <cell r="M290">
            <v>1079.8800000000001</v>
          </cell>
          <cell r="N290">
            <v>995.12</v>
          </cell>
          <cell r="O290">
            <v>3875</v>
          </cell>
          <cell r="P290">
            <v>25000</v>
          </cell>
          <cell r="Q290">
            <v>74625</v>
          </cell>
          <cell r="R290">
            <v>2001.88</v>
          </cell>
          <cell r="S290">
            <v>74620</v>
          </cell>
          <cell r="T290">
            <v>14185</v>
          </cell>
          <cell r="U290">
            <v>7475</v>
          </cell>
          <cell r="V290">
            <v>16175</v>
          </cell>
          <cell r="W290">
            <v>12276.88</v>
          </cell>
          <cell r="X290">
            <v>15000</v>
          </cell>
          <cell r="Y290">
            <v>4859.88</v>
          </cell>
          <cell r="Z290">
            <v>1595.12</v>
          </cell>
          <cell r="AA290">
            <v>18045</v>
          </cell>
          <cell r="AB290">
            <v>135000</v>
          </cell>
          <cell r="AC290">
            <v>14000</v>
          </cell>
          <cell r="AD290">
            <v>57067</v>
          </cell>
          <cell r="AE290">
            <v>2910</v>
          </cell>
          <cell r="AF290">
            <v>4675</v>
          </cell>
          <cell r="AG290">
            <v>9135</v>
          </cell>
          <cell r="AH290">
            <v>4850</v>
          </cell>
          <cell r="AI290">
            <v>5612.59</v>
          </cell>
          <cell r="AJ290">
            <v>8372.59</v>
          </cell>
          <cell r="AK290">
            <v>21940.080000000002</v>
          </cell>
          <cell r="AL290">
            <v>26575.119999999999</v>
          </cell>
          <cell r="AM290">
            <v>150831</v>
          </cell>
          <cell r="AN290">
            <v>20436.32</v>
          </cell>
          <cell r="AO290">
            <v>5436.5</v>
          </cell>
          <cell r="AP290">
            <v>12500</v>
          </cell>
          <cell r="AQ290">
            <v>750</v>
          </cell>
          <cell r="AR290">
            <v>3722.11</v>
          </cell>
          <cell r="AS290">
            <v>256.89999999999998</v>
          </cell>
          <cell r="AT290">
            <v>17073.8</v>
          </cell>
          <cell r="AU290">
            <v>5600</v>
          </cell>
          <cell r="AV290">
            <v>5977.33</v>
          </cell>
          <cell r="AW290">
            <v>16739.98</v>
          </cell>
          <cell r="AX290">
            <v>6000</v>
          </cell>
          <cell r="AY290">
            <v>84295</v>
          </cell>
          <cell r="AZ290">
            <v>47998</v>
          </cell>
          <cell r="BA290">
            <v>15045</v>
          </cell>
          <cell r="BB290">
            <v>39596.61</v>
          </cell>
          <cell r="BC290">
            <v>2853</v>
          </cell>
          <cell r="BD290">
            <v>25705</v>
          </cell>
          <cell r="BE290">
            <v>68320</v>
          </cell>
          <cell r="BF290">
            <v>39133.199999999997</v>
          </cell>
          <cell r="BG290">
            <v>2100</v>
          </cell>
          <cell r="BH290">
            <v>5925</v>
          </cell>
          <cell r="BI290">
            <v>18600</v>
          </cell>
          <cell r="BJ290">
            <v>12745</v>
          </cell>
          <cell r="BK290">
            <v>35405</v>
          </cell>
          <cell r="BL290">
            <v>54941</v>
          </cell>
          <cell r="BM290">
            <v>50736.07</v>
          </cell>
          <cell r="BN290">
            <v>7845</v>
          </cell>
          <cell r="BO290">
            <v>52038.16</v>
          </cell>
          <cell r="BP290">
            <v>26405</v>
          </cell>
          <cell r="BQ290">
            <v>64332.46</v>
          </cell>
          <cell r="BR290">
            <v>2014.94</v>
          </cell>
          <cell r="BS290">
            <v>-23445</v>
          </cell>
          <cell r="BT290">
            <v>5750</v>
          </cell>
          <cell r="BU290">
            <v>14545</v>
          </cell>
          <cell r="BV290">
            <v>8120</v>
          </cell>
          <cell r="BW290">
            <v>33923.32</v>
          </cell>
          <cell r="BX290">
            <v>65982.100000000006</v>
          </cell>
          <cell r="BY290">
            <v>64297.68</v>
          </cell>
          <cell r="BZ290">
            <v>1057.3</v>
          </cell>
          <cell r="CA290">
            <v>6570.68</v>
          </cell>
          <cell r="CB290">
            <v>39700</v>
          </cell>
          <cell r="CC290">
            <v>4205</v>
          </cell>
          <cell r="CD290">
            <v>16900</v>
          </cell>
          <cell r="CE290">
            <v>25000</v>
          </cell>
          <cell r="CF290">
            <v>5955</v>
          </cell>
          <cell r="CG290">
            <v>6125</v>
          </cell>
          <cell r="CH290">
            <v>14500</v>
          </cell>
          <cell r="CI290">
            <v>98044.32</v>
          </cell>
          <cell r="CJ290">
            <v>0</v>
          </cell>
          <cell r="CK290">
            <v>109190.5</v>
          </cell>
          <cell r="CL290">
            <v>43795</v>
          </cell>
          <cell r="CM290">
            <v>28675</v>
          </cell>
          <cell r="CN290">
            <v>2320.5300000000002</v>
          </cell>
          <cell r="CO290">
            <v>15057.28</v>
          </cell>
          <cell r="CP290">
            <v>2600</v>
          </cell>
          <cell r="CQ290">
            <v>24545.33</v>
          </cell>
          <cell r="CR290">
            <v>12388.44</v>
          </cell>
          <cell r="CS290">
            <v>38080.9</v>
          </cell>
          <cell r="CT290">
            <v>8239.1</v>
          </cell>
          <cell r="CU290">
            <v>87525</v>
          </cell>
          <cell r="CV290">
            <v>85195</v>
          </cell>
          <cell r="CW290">
            <v>4091.15</v>
          </cell>
          <cell r="CX290">
            <v>16190.92</v>
          </cell>
          <cell r="CY290">
            <v>10080</v>
          </cell>
          <cell r="CZ290">
            <v>58857.96</v>
          </cell>
          <cell r="DA290">
            <v>10108.959999999999</v>
          </cell>
          <cell r="DB290">
            <v>21943</v>
          </cell>
          <cell r="DC290">
            <v>34084.959999999999</v>
          </cell>
          <cell r="DD290">
            <v>13450</v>
          </cell>
          <cell r="DE290">
            <v>5275</v>
          </cell>
          <cell r="DF290">
            <v>19250</v>
          </cell>
          <cell r="DG290">
            <v>43085</v>
          </cell>
          <cell r="DH290">
            <v>321611.94999999995</v>
          </cell>
        </row>
        <row r="291">
          <cell r="A291" t="str">
            <v>6790060</v>
          </cell>
          <cell r="B291" t="str">
            <v>6790060</v>
          </cell>
          <cell r="C291" t="str">
            <v>Industry Dues</v>
          </cell>
          <cell r="D291">
            <v>59121.67</v>
          </cell>
          <cell r="E291">
            <v>87660.39</v>
          </cell>
          <cell r="F291">
            <v>191237.17</v>
          </cell>
          <cell r="G291">
            <v>41216.67</v>
          </cell>
          <cell r="H291">
            <v>52661.67</v>
          </cell>
          <cell r="I291">
            <v>41666.67</v>
          </cell>
          <cell r="J291">
            <v>297384.42</v>
          </cell>
          <cell r="K291">
            <v>41666.67</v>
          </cell>
          <cell r="L291">
            <v>41766.67</v>
          </cell>
          <cell r="M291">
            <v>42866.67</v>
          </cell>
          <cell r="N291">
            <v>148386.67000000001</v>
          </cell>
          <cell r="O291">
            <v>56666.67</v>
          </cell>
          <cell r="P291">
            <v>10000</v>
          </cell>
          <cell r="Q291">
            <v>130291.32</v>
          </cell>
          <cell r="R291">
            <v>4333</v>
          </cell>
          <cell r="S291">
            <v>60204</v>
          </cell>
          <cell r="T291">
            <v>2400</v>
          </cell>
          <cell r="U291">
            <v>7000</v>
          </cell>
          <cell r="V291">
            <v>61204</v>
          </cell>
          <cell r="W291">
            <v>27300</v>
          </cell>
          <cell r="X291">
            <v>189359</v>
          </cell>
          <cell r="Y291">
            <v>0</v>
          </cell>
          <cell r="Z291">
            <v>78204</v>
          </cell>
          <cell r="AA291">
            <v>15193</v>
          </cell>
          <cell r="AB291">
            <v>12583.33</v>
          </cell>
          <cell r="AC291">
            <v>56818.5</v>
          </cell>
          <cell r="AD291">
            <v>0</v>
          </cell>
          <cell r="AE291">
            <v>56818.5</v>
          </cell>
          <cell r="AF291">
            <v>500</v>
          </cell>
          <cell r="AG291">
            <v>216559</v>
          </cell>
          <cell r="AH291">
            <v>61818.5</v>
          </cell>
          <cell r="AI291">
            <v>11333</v>
          </cell>
          <cell r="AJ291">
            <v>600</v>
          </cell>
          <cell r="AK291">
            <v>80951.5</v>
          </cell>
          <cell r="AL291">
            <v>6050</v>
          </cell>
          <cell r="AM291">
            <v>62316.04</v>
          </cell>
          <cell r="AN291">
            <v>44166.67</v>
          </cell>
          <cell r="AO291">
            <v>72221.33</v>
          </cell>
          <cell r="AP291">
            <v>29166.66</v>
          </cell>
          <cell r="AQ291">
            <v>90668.34</v>
          </cell>
          <cell r="AR291">
            <v>48499.99</v>
          </cell>
          <cell r="AS291">
            <v>29166.66</v>
          </cell>
          <cell r="AT291">
            <v>172121.34</v>
          </cell>
          <cell r="AU291">
            <v>56366.66</v>
          </cell>
          <cell r="AV291">
            <v>29536.66</v>
          </cell>
          <cell r="AW291">
            <v>84721.34</v>
          </cell>
          <cell r="AX291">
            <v>31666.66</v>
          </cell>
          <cell r="AY291">
            <v>105435.18</v>
          </cell>
          <cell r="AZ291">
            <v>33333.33</v>
          </cell>
          <cell r="BA291">
            <v>291133.05</v>
          </cell>
          <cell r="BB291">
            <v>36833.33</v>
          </cell>
          <cell r="BC291">
            <v>58333.33</v>
          </cell>
          <cell r="BD291">
            <v>84274.05</v>
          </cell>
          <cell r="BE291">
            <v>62533.33</v>
          </cell>
          <cell r="BF291">
            <v>84494.06</v>
          </cell>
          <cell r="BG291">
            <v>39083.33</v>
          </cell>
          <cell r="BH291">
            <v>33333.33</v>
          </cell>
          <cell r="BI291">
            <v>84274.05</v>
          </cell>
          <cell r="BJ291">
            <v>33333.33</v>
          </cell>
          <cell r="BK291">
            <v>37083.33</v>
          </cell>
          <cell r="BL291">
            <v>44166.67</v>
          </cell>
          <cell r="BM291">
            <v>120950.81</v>
          </cell>
          <cell r="BN291">
            <v>261025.67</v>
          </cell>
          <cell r="BO291">
            <v>124170.81</v>
          </cell>
          <cell r="BP291">
            <v>41685.629999999997</v>
          </cell>
          <cell r="BQ291">
            <v>41666.67</v>
          </cell>
          <cell r="BR291">
            <v>117570.81</v>
          </cell>
          <cell r="BS291">
            <v>52416.67</v>
          </cell>
          <cell r="BT291">
            <v>79166.67</v>
          </cell>
          <cell r="BU291">
            <v>101670.81</v>
          </cell>
          <cell r="BV291">
            <v>41666.67</v>
          </cell>
          <cell r="BW291">
            <v>41666.67</v>
          </cell>
          <cell r="BX291">
            <v>82016.67</v>
          </cell>
          <cell r="BY291">
            <v>274150.67</v>
          </cell>
          <cell r="BZ291">
            <v>63886.67</v>
          </cell>
          <cell r="CA291">
            <v>100231.67</v>
          </cell>
          <cell r="CB291">
            <v>41666.67</v>
          </cell>
          <cell r="CC291">
            <v>41666.67</v>
          </cell>
          <cell r="CD291">
            <v>100231.67</v>
          </cell>
          <cell r="CE291">
            <v>25000</v>
          </cell>
          <cell r="CF291">
            <v>0</v>
          </cell>
          <cell r="CG291">
            <v>66565</v>
          </cell>
          <cell r="CH291">
            <v>0</v>
          </cell>
          <cell r="CI291">
            <v>200000</v>
          </cell>
          <cell r="CJ291">
            <v>177669</v>
          </cell>
          <cell r="CK291">
            <v>95445.75</v>
          </cell>
          <cell r="CL291">
            <v>21780</v>
          </cell>
          <cell r="CM291">
            <v>56345.75</v>
          </cell>
          <cell r="CN291">
            <v>0</v>
          </cell>
          <cell r="CO291">
            <v>62711.13</v>
          </cell>
          <cell r="CP291">
            <v>86345.75</v>
          </cell>
          <cell r="CQ291">
            <v>0</v>
          </cell>
          <cell r="CR291">
            <v>0</v>
          </cell>
          <cell r="CS291">
            <v>56345.75</v>
          </cell>
          <cell r="CT291">
            <v>4993.8599999999997</v>
          </cell>
          <cell r="CU291">
            <v>39530</v>
          </cell>
          <cell r="CV291">
            <v>403578</v>
          </cell>
          <cell r="CW291">
            <v>59720</v>
          </cell>
          <cell r="CX291">
            <v>0</v>
          </cell>
          <cell r="CY291">
            <v>294720</v>
          </cell>
          <cell r="CZ291">
            <v>30000</v>
          </cell>
          <cell r="DA291">
            <v>8000</v>
          </cell>
          <cell r="DB291">
            <v>73720</v>
          </cell>
          <cell r="DC291">
            <v>0</v>
          </cell>
          <cell r="DD291">
            <v>0</v>
          </cell>
          <cell r="DE291">
            <v>57220</v>
          </cell>
          <cell r="DF291">
            <v>0</v>
          </cell>
          <cell r="DG291">
            <v>44530</v>
          </cell>
          <cell r="DH291">
            <v>971488</v>
          </cell>
        </row>
        <row r="292">
          <cell r="A292" t="str">
            <v>6790090</v>
          </cell>
          <cell r="B292" t="str">
            <v>6790090</v>
          </cell>
          <cell r="C292" t="str">
            <v>Donations (501c)</v>
          </cell>
          <cell r="D292">
            <v>6731</v>
          </cell>
          <cell r="E292">
            <v>2817.55</v>
          </cell>
          <cell r="F292">
            <v>3519.22</v>
          </cell>
          <cell r="G292">
            <v>1595.49</v>
          </cell>
          <cell r="H292">
            <v>5464</v>
          </cell>
          <cell r="I292">
            <v>1097.3800000000001</v>
          </cell>
          <cell r="J292">
            <v>527.75</v>
          </cell>
          <cell r="K292">
            <v>312.14</v>
          </cell>
          <cell r="L292">
            <v>3215.22</v>
          </cell>
          <cell r="M292">
            <v>2171.48</v>
          </cell>
          <cell r="N292">
            <v>4744.5</v>
          </cell>
          <cell r="O292">
            <v>14512.1</v>
          </cell>
          <cell r="P292">
            <v>4684.55</v>
          </cell>
          <cell r="Q292">
            <v>5011.38</v>
          </cell>
          <cell r="R292">
            <v>4431.88</v>
          </cell>
          <cell r="S292">
            <v>34482.68</v>
          </cell>
          <cell r="T292">
            <v>506</v>
          </cell>
          <cell r="U292">
            <v>6894.15</v>
          </cell>
          <cell r="V292">
            <v>3714</v>
          </cell>
          <cell r="W292">
            <v>3758</v>
          </cell>
          <cell r="X292">
            <v>7005.05</v>
          </cell>
          <cell r="Y292">
            <v>6618.5</v>
          </cell>
          <cell r="Z292">
            <v>1469.72</v>
          </cell>
          <cell r="AA292">
            <v>18310.5</v>
          </cell>
          <cell r="AB292">
            <v>1025.3499999999999</v>
          </cell>
          <cell r="AC292">
            <v>6781.3</v>
          </cell>
          <cell r="AD292">
            <v>3728.58</v>
          </cell>
          <cell r="AE292">
            <v>12765.73</v>
          </cell>
          <cell r="AF292">
            <v>8009.55</v>
          </cell>
          <cell r="AG292">
            <v>38552.730000000003</v>
          </cell>
          <cell r="AH292">
            <v>623.29</v>
          </cell>
          <cell r="AI292">
            <v>1082.18</v>
          </cell>
          <cell r="AJ292">
            <v>10765.58</v>
          </cell>
          <cell r="AK292">
            <v>13197.61</v>
          </cell>
          <cell r="AL292">
            <v>6612.4</v>
          </cell>
          <cell r="AM292">
            <v>20749.46</v>
          </cell>
          <cell r="AN292">
            <v>957.32</v>
          </cell>
          <cell r="AO292">
            <v>6072.54</v>
          </cell>
          <cell r="AP292">
            <v>1057.5</v>
          </cell>
          <cell r="AQ292">
            <v>1182.5</v>
          </cell>
          <cell r="AR292">
            <v>3177.29</v>
          </cell>
          <cell r="AS292">
            <v>2883.27</v>
          </cell>
          <cell r="AT292">
            <v>17541.47</v>
          </cell>
          <cell r="AU292">
            <v>6174.47</v>
          </cell>
          <cell r="AV292">
            <v>6407.5</v>
          </cell>
          <cell r="AW292">
            <v>5605.76</v>
          </cell>
          <cell r="AX292">
            <v>3608.18</v>
          </cell>
          <cell r="AY292">
            <v>7134.77</v>
          </cell>
          <cell r="AZ292">
            <v>799.02</v>
          </cell>
          <cell r="BA292">
            <v>1943.08</v>
          </cell>
          <cell r="BB292">
            <v>6092.5</v>
          </cell>
          <cell r="BC292">
            <v>5261.5</v>
          </cell>
          <cell r="BD292">
            <v>384.5</v>
          </cell>
          <cell r="BE292">
            <v>4429.9399999999996</v>
          </cell>
          <cell r="BF292">
            <v>3897.37</v>
          </cell>
          <cell r="BG292">
            <v>8607.6200000000008</v>
          </cell>
          <cell r="BH292">
            <v>1637.46</v>
          </cell>
          <cell r="BI292">
            <v>30323.53</v>
          </cell>
          <cell r="BJ292">
            <v>1709.3</v>
          </cell>
          <cell r="BK292">
            <v>19639.71</v>
          </cell>
          <cell r="BL292">
            <v>10101.6</v>
          </cell>
          <cell r="BM292">
            <v>4000</v>
          </cell>
          <cell r="BN292">
            <v>3850</v>
          </cell>
          <cell r="BO292">
            <v>1275</v>
          </cell>
          <cell r="BP292">
            <v>15196.52</v>
          </cell>
          <cell r="BQ292">
            <v>3818.5</v>
          </cell>
          <cell r="BR292">
            <v>700</v>
          </cell>
          <cell r="BS292">
            <v>7550</v>
          </cell>
          <cell r="BT292">
            <v>20738.52</v>
          </cell>
          <cell r="BU292">
            <v>1539</v>
          </cell>
          <cell r="BV292">
            <v>4220.96</v>
          </cell>
          <cell r="BW292">
            <v>10552.35</v>
          </cell>
          <cell r="BX292">
            <v>3700</v>
          </cell>
          <cell r="BY292">
            <v>5698.44</v>
          </cell>
          <cell r="BZ292">
            <v>10350</v>
          </cell>
          <cell r="CA292">
            <v>105026.33</v>
          </cell>
          <cell r="CB292">
            <v>20264.29</v>
          </cell>
          <cell r="CC292">
            <v>50910</v>
          </cell>
          <cell r="CD292">
            <v>0</v>
          </cell>
          <cell r="CE292">
            <v>4564.78</v>
          </cell>
          <cell r="CF292">
            <v>2238.0700000000002</v>
          </cell>
          <cell r="CG292">
            <v>4816.9799999999996</v>
          </cell>
          <cell r="CH292">
            <v>3160.74</v>
          </cell>
          <cell r="CI292">
            <v>34509.040000000001</v>
          </cell>
          <cell r="CJ292">
            <v>703.58</v>
          </cell>
          <cell r="CK292">
            <v>6057.47</v>
          </cell>
          <cell r="CL292">
            <v>16557.38</v>
          </cell>
          <cell r="CM292">
            <v>16215.92</v>
          </cell>
          <cell r="CN292">
            <v>312.93</v>
          </cell>
          <cell r="CO292">
            <v>82.06</v>
          </cell>
          <cell r="CP292">
            <v>250</v>
          </cell>
          <cell r="CQ292">
            <v>20256.32</v>
          </cell>
          <cell r="CR292">
            <v>4205.74</v>
          </cell>
          <cell r="CS292">
            <v>9743.86</v>
          </cell>
          <cell r="CT292">
            <v>15009.98</v>
          </cell>
          <cell r="CU292">
            <v>69067.69</v>
          </cell>
          <cell r="CV292">
            <v>1355.61</v>
          </cell>
          <cell r="CW292">
            <v>1925</v>
          </cell>
          <cell r="CX292">
            <v>11280.06</v>
          </cell>
          <cell r="CY292">
            <v>39249.949999999997</v>
          </cell>
          <cell r="CZ292">
            <v>13726.27</v>
          </cell>
          <cell r="DA292">
            <v>21026.67</v>
          </cell>
          <cell r="DB292">
            <v>16058.18</v>
          </cell>
          <cell r="DC292">
            <v>-6481.25</v>
          </cell>
          <cell r="DD292">
            <v>23113.75</v>
          </cell>
          <cell r="DE292">
            <v>54155.56</v>
          </cell>
          <cell r="DF292">
            <v>36878.03</v>
          </cell>
          <cell r="DG292">
            <v>25187.68</v>
          </cell>
          <cell r="DH292">
            <v>237475.50999999998</v>
          </cell>
        </row>
        <row r="293">
          <cell r="A293" t="str">
            <v>6790091</v>
          </cell>
          <cell r="B293" t="str">
            <v>6790091</v>
          </cell>
          <cell r="C293" t="str">
            <v>Donations NonDed</v>
          </cell>
          <cell r="D293">
            <v>840</v>
          </cell>
          <cell r="E293">
            <v>50</v>
          </cell>
          <cell r="F293">
            <v>3160</v>
          </cell>
          <cell r="G293">
            <v>550</v>
          </cell>
          <cell r="H293">
            <v>2075</v>
          </cell>
          <cell r="I293">
            <v>205.47</v>
          </cell>
          <cell r="J293">
            <v>2032.21</v>
          </cell>
          <cell r="K293">
            <v>1150</v>
          </cell>
          <cell r="L293">
            <v>0</v>
          </cell>
          <cell r="M293">
            <v>780</v>
          </cell>
          <cell r="N293">
            <v>1500</v>
          </cell>
          <cell r="O293">
            <v>7604.06</v>
          </cell>
          <cell r="P293">
            <v>4230</v>
          </cell>
          <cell r="Q293">
            <v>1965.42</v>
          </cell>
          <cell r="R293">
            <v>12935.55</v>
          </cell>
          <cell r="S293">
            <v>310</v>
          </cell>
          <cell r="T293">
            <v>3033.49</v>
          </cell>
          <cell r="U293">
            <v>3368.77</v>
          </cell>
          <cell r="V293">
            <v>8545.0400000000009</v>
          </cell>
          <cell r="W293">
            <v>1220</v>
          </cell>
          <cell r="X293">
            <v>3121.27</v>
          </cell>
          <cell r="Y293">
            <v>2508</v>
          </cell>
          <cell r="Z293">
            <v>330.18</v>
          </cell>
          <cell r="AA293">
            <v>3198.57</v>
          </cell>
          <cell r="AB293">
            <v>1850</v>
          </cell>
          <cell r="AC293">
            <v>1831.15</v>
          </cell>
          <cell r="AD293">
            <v>16841.95</v>
          </cell>
          <cell r="AE293">
            <v>1535</v>
          </cell>
          <cell r="AF293">
            <v>0</v>
          </cell>
          <cell r="AG293">
            <v>5315</v>
          </cell>
          <cell r="AH293">
            <v>1495</v>
          </cell>
          <cell r="AI293">
            <v>5220</v>
          </cell>
          <cell r="AJ293">
            <v>2301.65</v>
          </cell>
          <cell r="AK293">
            <v>5792.59</v>
          </cell>
          <cell r="AL293">
            <v>1250</v>
          </cell>
          <cell r="AM293">
            <v>1384.31</v>
          </cell>
          <cell r="AN293">
            <v>6606.15</v>
          </cell>
          <cell r="AO293">
            <v>1886.32</v>
          </cell>
          <cell r="AP293">
            <v>3302</v>
          </cell>
          <cell r="AQ293">
            <v>14411.56</v>
          </cell>
          <cell r="AR293">
            <v>2825</v>
          </cell>
          <cell r="AS293">
            <v>2500</v>
          </cell>
          <cell r="AT293">
            <v>5925</v>
          </cell>
          <cell r="AU293">
            <v>2000</v>
          </cell>
          <cell r="AV293">
            <v>16504</v>
          </cell>
          <cell r="AW293">
            <v>7436.78</v>
          </cell>
          <cell r="AX293">
            <v>1565</v>
          </cell>
          <cell r="AY293">
            <v>5893.92</v>
          </cell>
          <cell r="AZ293">
            <v>4252.0600000000004</v>
          </cell>
          <cell r="BA293">
            <v>4295</v>
          </cell>
          <cell r="BB293">
            <v>9829.6</v>
          </cell>
          <cell r="BC293">
            <v>15201.13</v>
          </cell>
          <cell r="BD293">
            <v>5975</v>
          </cell>
          <cell r="BE293">
            <v>4605.34</v>
          </cell>
          <cell r="BF293">
            <v>1200</v>
          </cell>
          <cell r="BG293">
            <v>1725</v>
          </cell>
          <cell r="BH293">
            <v>4205</v>
          </cell>
          <cell r="BI293">
            <v>1304.98</v>
          </cell>
          <cell r="BJ293">
            <v>9200</v>
          </cell>
          <cell r="BK293">
            <v>2188.52</v>
          </cell>
          <cell r="BL293">
            <v>15350</v>
          </cell>
          <cell r="BM293">
            <v>5150</v>
          </cell>
          <cell r="BN293">
            <v>5200</v>
          </cell>
          <cell r="BO293">
            <v>6630</v>
          </cell>
          <cell r="BP293">
            <v>5625</v>
          </cell>
          <cell r="BQ293">
            <v>0</v>
          </cell>
          <cell r="BR293">
            <v>4884</v>
          </cell>
          <cell r="BS293">
            <v>4950</v>
          </cell>
          <cell r="BT293">
            <v>42455</v>
          </cell>
          <cell r="BU293">
            <v>8368.33</v>
          </cell>
          <cell r="BV293">
            <v>4299</v>
          </cell>
          <cell r="BW293">
            <v>20114.88</v>
          </cell>
          <cell r="BX293">
            <v>1350</v>
          </cell>
          <cell r="BY293">
            <v>61961.96</v>
          </cell>
          <cell r="BZ293">
            <v>26250</v>
          </cell>
          <cell r="CA293">
            <v>125.19</v>
          </cell>
          <cell r="CB293">
            <v>8500</v>
          </cell>
          <cell r="CC293">
            <v>1700</v>
          </cell>
          <cell r="CD293">
            <v>0</v>
          </cell>
          <cell r="CE293">
            <v>0</v>
          </cell>
          <cell r="CF293">
            <v>0</v>
          </cell>
          <cell r="CG293">
            <v>13000</v>
          </cell>
          <cell r="CH293">
            <v>9500</v>
          </cell>
          <cell r="CI293">
            <v>5535</v>
          </cell>
          <cell r="CJ293">
            <v>0</v>
          </cell>
          <cell r="CK293">
            <v>34617.69</v>
          </cell>
          <cell r="CL293">
            <v>0</v>
          </cell>
          <cell r="CM293">
            <v>1500</v>
          </cell>
          <cell r="CN293">
            <v>7000</v>
          </cell>
          <cell r="CO293">
            <v>2500</v>
          </cell>
          <cell r="CP293">
            <v>3020</v>
          </cell>
          <cell r="CQ293">
            <v>5000</v>
          </cell>
          <cell r="CR293">
            <v>16642.009999999998</v>
          </cell>
          <cell r="CS293">
            <v>0</v>
          </cell>
          <cell r="CT293">
            <v>1550</v>
          </cell>
          <cell r="CU293">
            <v>5284</v>
          </cell>
          <cell r="CV293">
            <v>49902.5</v>
          </cell>
          <cell r="CW293">
            <v>295</v>
          </cell>
          <cell r="CX293">
            <v>3425</v>
          </cell>
          <cell r="CY293">
            <v>7306.15</v>
          </cell>
          <cell r="CZ293">
            <v>22216.39</v>
          </cell>
          <cell r="DA293">
            <v>0</v>
          </cell>
          <cell r="DB293">
            <v>4000</v>
          </cell>
          <cell r="DC293">
            <v>3688.89</v>
          </cell>
          <cell r="DD293">
            <v>92.24</v>
          </cell>
          <cell r="DE293">
            <v>4156.25</v>
          </cell>
          <cell r="DF293">
            <v>7679.68</v>
          </cell>
          <cell r="DG293">
            <v>-344.68</v>
          </cell>
          <cell r="DH293">
            <v>102417.42000000001</v>
          </cell>
        </row>
        <row r="294">
          <cell r="A294" t="str">
            <v>6790092</v>
          </cell>
          <cell r="B294" t="str">
            <v>6790092</v>
          </cell>
          <cell r="C294" t="str">
            <v>Donations Other</v>
          </cell>
          <cell r="D294">
            <v>2005</v>
          </cell>
          <cell r="E294">
            <v>4630.7</v>
          </cell>
          <cell r="F294">
            <v>13633</v>
          </cell>
          <cell r="G294">
            <v>2884</v>
          </cell>
          <cell r="H294">
            <v>23658.18</v>
          </cell>
          <cell r="I294">
            <v>7833</v>
          </cell>
          <cell r="J294">
            <v>15773</v>
          </cell>
          <cell r="K294">
            <v>9924</v>
          </cell>
          <cell r="L294">
            <v>1232</v>
          </cell>
          <cell r="M294">
            <v>1866</v>
          </cell>
          <cell r="N294">
            <v>4793</v>
          </cell>
          <cell r="O294">
            <v>22166</v>
          </cell>
          <cell r="P294">
            <v>6592</v>
          </cell>
          <cell r="Q294">
            <v>6917</v>
          </cell>
          <cell r="R294">
            <v>32297</v>
          </cell>
          <cell r="S294">
            <v>12206.48</v>
          </cell>
          <cell r="T294">
            <v>10339</v>
          </cell>
          <cell r="U294">
            <v>5853</v>
          </cell>
          <cell r="V294">
            <v>15706.98</v>
          </cell>
          <cell r="W294">
            <v>7653.5</v>
          </cell>
          <cell r="X294">
            <v>6553.05</v>
          </cell>
          <cell r="Y294">
            <v>9413</v>
          </cell>
          <cell r="Z294">
            <v>3185.46</v>
          </cell>
          <cell r="AA294">
            <v>16157.2</v>
          </cell>
          <cell r="AB294">
            <v>19338</v>
          </cell>
          <cell r="AC294">
            <v>3577</v>
          </cell>
          <cell r="AD294">
            <v>14047</v>
          </cell>
          <cell r="AE294">
            <v>5961</v>
          </cell>
          <cell r="AF294">
            <v>11965</v>
          </cell>
          <cell r="AG294">
            <v>29735</v>
          </cell>
          <cell r="AH294">
            <v>11063</v>
          </cell>
          <cell r="AI294">
            <v>11049.98</v>
          </cell>
          <cell r="AJ294">
            <v>14206.5</v>
          </cell>
          <cell r="AK294">
            <v>8993</v>
          </cell>
          <cell r="AL294">
            <v>6630</v>
          </cell>
          <cell r="AM294">
            <v>36478</v>
          </cell>
          <cell r="AN294">
            <v>-25068.26</v>
          </cell>
          <cell r="AO294">
            <v>12078.08</v>
          </cell>
          <cell r="AP294">
            <v>3134.5</v>
          </cell>
          <cell r="AQ294">
            <v>9248</v>
          </cell>
          <cell r="AR294">
            <v>9219</v>
          </cell>
          <cell r="AS294">
            <v>8412</v>
          </cell>
          <cell r="AT294">
            <v>7696.25</v>
          </cell>
          <cell r="AU294">
            <v>16766.73</v>
          </cell>
          <cell r="AV294">
            <v>12560</v>
          </cell>
          <cell r="AW294">
            <v>5603</v>
          </cell>
          <cell r="AX294">
            <v>14257</v>
          </cell>
          <cell r="AY294">
            <v>18529</v>
          </cell>
          <cell r="AZ294">
            <v>8415</v>
          </cell>
          <cell r="BA294">
            <v>8833</v>
          </cell>
          <cell r="BB294">
            <v>4786</v>
          </cell>
          <cell r="BC294">
            <v>25532</v>
          </cell>
          <cell r="BD294">
            <v>24092</v>
          </cell>
          <cell r="BE294">
            <v>4331</v>
          </cell>
          <cell r="BF294">
            <v>2291.5</v>
          </cell>
          <cell r="BG294">
            <v>16854</v>
          </cell>
          <cell r="BH294">
            <v>9125</v>
          </cell>
          <cell r="BI294">
            <v>32828.480000000003</v>
          </cell>
          <cell r="BJ294">
            <v>27992</v>
          </cell>
          <cell r="BK294">
            <v>9367</v>
          </cell>
          <cell r="BL294">
            <v>8918</v>
          </cell>
          <cell r="BM294">
            <v>10410</v>
          </cell>
          <cell r="BN294">
            <v>15438</v>
          </cell>
          <cell r="BO294">
            <v>10298.969999999999</v>
          </cell>
          <cell r="BP294">
            <v>11217</v>
          </cell>
          <cell r="BQ294">
            <v>13650</v>
          </cell>
          <cell r="BR294">
            <v>4460.66</v>
          </cell>
          <cell r="BS294">
            <v>13238</v>
          </cell>
          <cell r="BT294">
            <v>8317</v>
          </cell>
          <cell r="BU294">
            <v>2810</v>
          </cell>
          <cell r="BV294">
            <v>31376</v>
          </cell>
          <cell r="BW294">
            <v>31810.25</v>
          </cell>
          <cell r="BX294">
            <v>3789</v>
          </cell>
          <cell r="BY294">
            <v>7058</v>
          </cell>
          <cell r="BZ294">
            <v>3870</v>
          </cell>
          <cell r="CA294">
            <v>1346</v>
          </cell>
          <cell r="CB294">
            <v>1581</v>
          </cell>
          <cell r="CC294">
            <v>4119</v>
          </cell>
          <cell r="CD294">
            <v>1499</v>
          </cell>
          <cell r="CE294">
            <v>4575</v>
          </cell>
          <cell r="CF294">
            <v>1909</v>
          </cell>
          <cell r="CG294">
            <v>12215</v>
          </cell>
          <cell r="CH294">
            <v>4352.96</v>
          </cell>
          <cell r="CI294">
            <v>30593.94</v>
          </cell>
          <cell r="CJ294">
            <v>1658</v>
          </cell>
          <cell r="CK294">
            <v>3438.21</v>
          </cell>
          <cell r="CL294">
            <v>4461</v>
          </cell>
          <cell r="CM294">
            <v>1917</v>
          </cell>
          <cell r="CN294">
            <v>2112</v>
          </cell>
          <cell r="CO294">
            <v>4794</v>
          </cell>
          <cell r="CP294">
            <v>2505.25</v>
          </cell>
          <cell r="CQ294">
            <v>2632.47</v>
          </cell>
          <cell r="CR294">
            <v>15140</v>
          </cell>
          <cell r="CS294">
            <v>2375</v>
          </cell>
          <cell r="CT294">
            <v>633.01</v>
          </cell>
          <cell r="CU294">
            <v>6592.5</v>
          </cell>
          <cell r="CV294">
            <v>2289</v>
          </cell>
          <cell r="CW294">
            <v>5080</v>
          </cell>
          <cell r="CX294">
            <v>7619</v>
          </cell>
          <cell r="CY294">
            <v>9237</v>
          </cell>
          <cell r="CZ294">
            <v>2335.5300000000002</v>
          </cell>
          <cell r="DA294">
            <v>3757</v>
          </cell>
          <cell r="DB294">
            <v>2525</v>
          </cell>
          <cell r="DC294">
            <v>4081</v>
          </cell>
          <cell r="DD294">
            <v>2804</v>
          </cell>
          <cell r="DE294">
            <v>5920</v>
          </cell>
          <cell r="DF294">
            <v>9477</v>
          </cell>
          <cell r="DG294">
            <v>21439.45</v>
          </cell>
          <cell r="DH294">
            <v>76563.98</v>
          </cell>
        </row>
        <row r="295">
          <cell r="A295" t="str">
            <v>6790101</v>
          </cell>
          <cell r="B295" t="str">
            <v>6790101</v>
          </cell>
          <cell r="C295" t="str">
            <v>Fees-Bank</v>
          </cell>
          <cell r="D295">
            <v>31766.41</v>
          </cell>
          <cell r="E295">
            <v>65137.41</v>
          </cell>
          <cell r="F295">
            <v>29000.16</v>
          </cell>
          <cell r="G295">
            <v>55022.36</v>
          </cell>
          <cell r="H295">
            <v>29812.7</v>
          </cell>
          <cell r="I295">
            <v>28383.54</v>
          </cell>
          <cell r="J295">
            <v>55510.53</v>
          </cell>
          <cell r="K295">
            <v>30436.29</v>
          </cell>
          <cell r="L295">
            <v>55639.72</v>
          </cell>
          <cell r="M295">
            <v>27996.28</v>
          </cell>
          <cell r="N295">
            <v>28348.22</v>
          </cell>
          <cell r="O295">
            <v>33877.279999999999</v>
          </cell>
          <cell r="P295">
            <v>55113.120000000003</v>
          </cell>
          <cell r="Q295">
            <v>27379.119999999999</v>
          </cell>
          <cell r="R295">
            <v>26987.17</v>
          </cell>
          <cell r="S295">
            <v>53035.63</v>
          </cell>
          <cell r="T295">
            <v>28096.11</v>
          </cell>
          <cell r="U295">
            <v>29544.74</v>
          </cell>
          <cell r="V295">
            <v>57556.02</v>
          </cell>
          <cell r="W295">
            <v>31122.69</v>
          </cell>
          <cell r="X295">
            <v>30489.08</v>
          </cell>
          <cell r="Y295">
            <v>56857.3</v>
          </cell>
          <cell r="Z295">
            <v>30624.75</v>
          </cell>
          <cell r="AA295">
            <v>36334.69</v>
          </cell>
          <cell r="AB295">
            <v>55206.36</v>
          </cell>
          <cell r="AC295">
            <v>28228.6</v>
          </cell>
          <cell r="AD295">
            <v>31163.34</v>
          </cell>
          <cell r="AE295">
            <v>58385.66</v>
          </cell>
          <cell r="AF295">
            <v>31309.43</v>
          </cell>
          <cell r="AG295">
            <v>28824</v>
          </cell>
          <cell r="AH295">
            <v>55405.43</v>
          </cell>
          <cell r="AI295">
            <v>18348.96</v>
          </cell>
          <cell r="AJ295">
            <v>29388.77</v>
          </cell>
          <cell r="AK295">
            <v>54966.79</v>
          </cell>
          <cell r="AL295">
            <v>27933.94</v>
          </cell>
          <cell r="AM295">
            <v>33551.89</v>
          </cell>
          <cell r="AN295">
            <v>52960.84</v>
          </cell>
          <cell r="AO295">
            <v>33715.120000000003</v>
          </cell>
          <cell r="AP295">
            <v>42416.05</v>
          </cell>
          <cell r="AQ295">
            <v>77360.13</v>
          </cell>
          <cell r="AR295">
            <v>28355.3</v>
          </cell>
          <cell r="AS295">
            <v>28880.89</v>
          </cell>
          <cell r="AT295">
            <v>55028.25</v>
          </cell>
          <cell r="AU295">
            <v>28499.68</v>
          </cell>
          <cell r="AV295">
            <v>29543.73</v>
          </cell>
          <cell r="AW295">
            <v>52791.06</v>
          </cell>
          <cell r="AX295">
            <v>28407.45</v>
          </cell>
          <cell r="AY295">
            <v>24187.06</v>
          </cell>
          <cell r="AZ295">
            <v>43080.68</v>
          </cell>
          <cell r="BA295">
            <v>18744.259999999998</v>
          </cell>
          <cell r="BB295">
            <v>25885.02</v>
          </cell>
          <cell r="BC295">
            <v>45499.67</v>
          </cell>
          <cell r="BD295">
            <v>18119.740000000002</v>
          </cell>
          <cell r="BE295">
            <v>22184.85</v>
          </cell>
          <cell r="BF295">
            <v>47383.360000000001</v>
          </cell>
          <cell r="BG295">
            <v>22720.66</v>
          </cell>
          <cell r="BH295">
            <v>21910.51</v>
          </cell>
          <cell r="BI295">
            <v>47238.38</v>
          </cell>
          <cell r="BJ295">
            <v>18796.560000000001</v>
          </cell>
          <cell r="BK295">
            <v>19024.990000000002</v>
          </cell>
          <cell r="BL295">
            <v>45426.78</v>
          </cell>
          <cell r="BM295">
            <v>19521.71</v>
          </cell>
          <cell r="BN295">
            <v>25493.59</v>
          </cell>
          <cell r="BO295">
            <v>45738.44</v>
          </cell>
          <cell r="BP295">
            <v>20879.91</v>
          </cell>
          <cell r="BQ295">
            <v>23443.87</v>
          </cell>
          <cell r="BR295">
            <v>48867.199999999997</v>
          </cell>
          <cell r="BS295">
            <v>24627.01</v>
          </cell>
          <cell r="BT295">
            <v>24889.200000000001</v>
          </cell>
          <cell r="BU295">
            <v>42216.95</v>
          </cell>
          <cell r="BV295">
            <v>34522.04</v>
          </cell>
          <cell r="BW295">
            <v>23951.01</v>
          </cell>
          <cell r="BX295">
            <v>51677.05</v>
          </cell>
          <cell r="BY295">
            <v>24618.07</v>
          </cell>
          <cell r="BZ295">
            <v>30713.02</v>
          </cell>
          <cell r="CA295">
            <v>57830.65</v>
          </cell>
          <cell r="CB295">
            <v>23926.93</v>
          </cell>
          <cell r="CC295">
            <v>23758.41</v>
          </cell>
          <cell r="CD295">
            <v>56754.239999999998</v>
          </cell>
          <cell r="CE295">
            <v>25320.39</v>
          </cell>
          <cell r="CF295">
            <v>25845.15</v>
          </cell>
          <cell r="CG295">
            <v>55900.79</v>
          </cell>
          <cell r="CH295">
            <v>24518.99</v>
          </cell>
          <cell r="CI295">
            <v>54813.760000000002</v>
          </cell>
          <cell r="CJ295">
            <v>34939.599999999999</v>
          </cell>
          <cell r="CK295">
            <v>23158.65</v>
          </cell>
          <cell r="CL295">
            <v>20642.259999999998</v>
          </cell>
          <cell r="CM295">
            <v>82158.55</v>
          </cell>
          <cell r="CN295">
            <v>13902.21</v>
          </cell>
          <cell r="CO295">
            <v>13585.18</v>
          </cell>
          <cell r="CP295">
            <v>79773.81</v>
          </cell>
          <cell r="CQ295">
            <v>15047.02</v>
          </cell>
          <cell r="CR295">
            <v>16523.27</v>
          </cell>
          <cell r="CS295">
            <v>81516.37</v>
          </cell>
          <cell r="CT295">
            <v>17315.25</v>
          </cell>
          <cell r="CU295">
            <v>76204.25</v>
          </cell>
          <cell r="CV295">
            <v>29249.54</v>
          </cell>
          <cell r="CW295">
            <v>17484.68</v>
          </cell>
          <cell r="CX295">
            <v>19137.96</v>
          </cell>
          <cell r="CY295">
            <v>85193.279999999999</v>
          </cell>
          <cell r="CZ295">
            <v>18130.43</v>
          </cell>
          <cell r="DA295">
            <v>18865.95</v>
          </cell>
          <cell r="DB295">
            <v>83934.6</v>
          </cell>
          <cell r="DC295">
            <v>20585.099999999999</v>
          </cell>
          <cell r="DD295">
            <v>25051.21</v>
          </cell>
          <cell r="DE295">
            <v>87642.26</v>
          </cell>
          <cell r="DF295">
            <v>20314.97</v>
          </cell>
          <cell r="DG295">
            <v>18262.7</v>
          </cell>
          <cell r="DH295">
            <v>443852.68</v>
          </cell>
        </row>
        <row r="296">
          <cell r="A296" t="str">
            <v>6790102</v>
          </cell>
          <cell r="B296" t="str">
            <v>6790102</v>
          </cell>
          <cell r="C296" t="str">
            <v>Fees-Report Filing</v>
          </cell>
          <cell r="D296">
            <v>0</v>
          </cell>
          <cell r="E296">
            <v>0</v>
          </cell>
          <cell r="F296">
            <v>150</v>
          </cell>
          <cell r="G296">
            <v>0</v>
          </cell>
          <cell r="H296">
            <v>0</v>
          </cell>
          <cell r="I296">
            <v>0</v>
          </cell>
          <cell r="J296">
            <v>0</v>
          </cell>
          <cell r="K296">
            <v>0</v>
          </cell>
          <cell r="L296">
            <v>0</v>
          </cell>
          <cell r="M296">
            <v>0</v>
          </cell>
          <cell r="N296">
            <v>0</v>
          </cell>
          <cell r="O296">
            <v>0</v>
          </cell>
          <cell r="P296">
            <v>150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138.75</v>
          </cell>
          <cell r="AO296">
            <v>0</v>
          </cell>
          <cell r="AP296">
            <v>0</v>
          </cell>
          <cell r="AQ296">
            <v>0</v>
          </cell>
          <cell r="AR296">
            <v>0</v>
          </cell>
          <cell r="AS296">
            <v>0</v>
          </cell>
          <cell r="AT296">
            <v>0</v>
          </cell>
          <cell r="AU296">
            <v>0</v>
          </cell>
          <cell r="AV296">
            <v>0</v>
          </cell>
          <cell r="AW296">
            <v>0</v>
          </cell>
          <cell r="AX296">
            <v>0</v>
          </cell>
          <cell r="AY296">
            <v>0</v>
          </cell>
          <cell r="AZ296">
            <v>150</v>
          </cell>
          <cell r="BA296">
            <v>0</v>
          </cell>
          <cell r="BB296">
            <v>0</v>
          </cell>
          <cell r="BC296">
            <v>0</v>
          </cell>
          <cell r="BD296">
            <v>0</v>
          </cell>
          <cell r="BE296">
            <v>0</v>
          </cell>
          <cell r="BF296">
            <v>0</v>
          </cell>
          <cell r="BG296">
            <v>0</v>
          </cell>
          <cell r="BH296">
            <v>0</v>
          </cell>
          <cell r="BI296">
            <v>0</v>
          </cell>
          <cell r="BJ296">
            <v>0</v>
          </cell>
          <cell r="BK296">
            <v>0</v>
          </cell>
          <cell r="BL296">
            <v>150</v>
          </cell>
          <cell r="BM296">
            <v>15000</v>
          </cell>
          <cell r="BN296">
            <v>700</v>
          </cell>
          <cell r="BO296">
            <v>-15000</v>
          </cell>
          <cell r="BP296">
            <v>0</v>
          </cell>
          <cell r="BQ296">
            <v>0</v>
          </cell>
          <cell r="BR296">
            <v>0</v>
          </cell>
          <cell r="BS296">
            <v>0</v>
          </cell>
          <cell r="BT296">
            <v>0</v>
          </cell>
          <cell r="BU296">
            <v>0</v>
          </cell>
          <cell r="BV296">
            <v>0</v>
          </cell>
          <cell r="BW296">
            <v>0</v>
          </cell>
          <cell r="BX296">
            <v>150</v>
          </cell>
          <cell r="BY296">
            <v>0</v>
          </cell>
          <cell r="BZ296">
            <v>1915</v>
          </cell>
          <cell r="CA296">
            <v>0</v>
          </cell>
          <cell r="CB296">
            <v>0</v>
          </cell>
          <cell r="CC296">
            <v>0</v>
          </cell>
          <cell r="CD296">
            <v>0</v>
          </cell>
          <cell r="CE296">
            <v>0</v>
          </cell>
          <cell r="CF296">
            <v>15000</v>
          </cell>
          <cell r="CG296">
            <v>0</v>
          </cell>
          <cell r="CH296">
            <v>0</v>
          </cell>
          <cell r="CI296">
            <v>3000</v>
          </cell>
          <cell r="CJ296">
            <v>0</v>
          </cell>
          <cell r="CK296">
            <v>150</v>
          </cell>
          <cell r="CL296">
            <v>0</v>
          </cell>
          <cell r="CM296">
            <v>0</v>
          </cell>
          <cell r="CN296">
            <v>0</v>
          </cell>
          <cell r="CO296">
            <v>0</v>
          </cell>
          <cell r="CP296">
            <v>0</v>
          </cell>
          <cell r="CQ296">
            <v>0</v>
          </cell>
          <cell r="CR296">
            <v>0</v>
          </cell>
          <cell r="CS296">
            <v>0</v>
          </cell>
          <cell r="CT296">
            <v>0</v>
          </cell>
          <cell r="CU296">
            <v>0</v>
          </cell>
          <cell r="CV296">
            <v>0</v>
          </cell>
          <cell r="CW296">
            <v>150</v>
          </cell>
          <cell r="CX296">
            <v>0</v>
          </cell>
          <cell r="CY296">
            <v>0</v>
          </cell>
          <cell r="CZ296">
            <v>0</v>
          </cell>
          <cell r="DA296">
            <v>0</v>
          </cell>
          <cell r="DB296">
            <v>0</v>
          </cell>
          <cell r="DC296">
            <v>0</v>
          </cell>
          <cell r="DD296">
            <v>0</v>
          </cell>
          <cell r="DE296">
            <v>0</v>
          </cell>
          <cell r="DF296">
            <v>0</v>
          </cell>
          <cell r="DG296">
            <v>0</v>
          </cell>
          <cell r="DH296">
            <v>150</v>
          </cell>
        </row>
        <row r="297">
          <cell r="A297" t="str">
            <v>6790103</v>
          </cell>
          <cell r="B297" t="str">
            <v>6790103</v>
          </cell>
          <cell r="C297" t="str">
            <v>Fees-Registration</v>
          </cell>
          <cell r="D297">
            <v>0</v>
          </cell>
          <cell r="E297">
            <v>1220</v>
          </cell>
          <cell r="F297">
            <v>1149</v>
          </cell>
          <cell r="G297">
            <v>845</v>
          </cell>
          <cell r="H297">
            <v>1167</v>
          </cell>
          <cell r="I297">
            <v>0</v>
          </cell>
          <cell r="J297">
            <v>1500</v>
          </cell>
          <cell r="K297">
            <v>0</v>
          </cell>
          <cell r="L297">
            <v>0</v>
          </cell>
          <cell r="M297">
            <v>795</v>
          </cell>
          <cell r="N297">
            <v>0</v>
          </cell>
          <cell r="O297">
            <v>805</v>
          </cell>
          <cell r="P297">
            <v>0</v>
          </cell>
          <cell r="Q297">
            <v>0</v>
          </cell>
          <cell r="R297">
            <v>650</v>
          </cell>
          <cell r="S297">
            <v>50</v>
          </cell>
          <cell r="T297">
            <v>1075</v>
          </cell>
          <cell r="U297">
            <v>0</v>
          </cell>
          <cell r="V297">
            <v>0</v>
          </cell>
          <cell r="W297">
            <v>2618.77</v>
          </cell>
          <cell r="X297">
            <v>0</v>
          </cell>
          <cell r="Y297">
            <v>0</v>
          </cell>
          <cell r="Z297">
            <v>0</v>
          </cell>
          <cell r="AA297">
            <v>0</v>
          </cell>
          <cell r="AB297">
            <v>0</v>
          </cell>
          <cell r="AC297">
            <v>1219.5</v>
          </cell>
          <cell r="AD297">
            <v>13950</v>
          </cell>
          <cell r="AE297">
            <v>0</v>
          </cell>
          <cell r="AF297">
            <v>675</v>
          </cell>
          <cell r="AG297">
            <v>300</v>
          </cell>
          <cell r="AH297">
            <v>0</v>
          </cell>
          <cell r="AI297">
            <v>195</v>
          </cell>
          <cell r="AJ297">
            <v>4804.3</v>
          </cell>
          <cell r="AK297">
            <v>875</v>
          </cell>
          <cell r="AL297">
            <v>8</v>
          </cell>
          <cell r="AM297">
            <v>625</v>
          </cell>
          <cell r="AN297">
            <v>2400</v>
          </cell>
          <cell r="AO297">
            <v>0</v>
          </cell>
          <cell r="AP297">
            <v>0</v>
          </cell>
          <cell r="AQ297">
            <v>820</v>
          </cell>
          <cell r="AR297">
            <v>20</v>
          </cell>
          <cell r="AS297">
            <v>0</v>
          </cell>
          <cell r="AT297">
            <v>925</v>
          </cell>
          <cell r="AU297">
            <v>0</v>
          </cell>
          <cell r="AV297">
            <v>2269</v>
          </cell>
          <cell r="AW297">
            <v>597</v>
          </cell>
          <cell r="AX297">
            <v>0</v>
          </cell>
          <cell r="AY297">
            <v>1650</v>
          </cell>
          <cell r="AZ297">
            <v>0</v>
          </cell>
          <cell r="BA297">
            <v>-1000</v>
          </cell>
          <cell r="BB297">
            <v>0</v>
          </cell>
          <cell r="BC297">
            <v>0</v>
          </cell>
          <cell r="BD297">
            <v>500</v>
          </cell>
          <cell r="BE297">
            <v>0</v>
          </cell>
          <cell r="BF297">
            <v>0</v>
          </cell>
          <cell r="BG297">
            <v>0</v>
          </cell>
          <cell r="BH297">
            <v>0</v>
          </cell>
          <cell r="BI297">
            <v>100</v>
          </cell>
          <cell r="BJ297">
            <v>0</v>
          </cell>
          <cell r="BK297">
            <v>639</v>
          </cell>
          <cell r="BL297">
            <v>0</v>
          </cell>
          <cell r="BM297">
            <v>0</v>
          </cell>
          <cell r="BN297">
            <v>0</v>
          </cell>
          <cell r="BO297">
            <v>550</v>
          </cell>
          <cell r="BP297">
            <v>0</v>
          </cell>
          <cell r="BQ297">
            <v>0</v>
          </cell>
          <cell r="BR297">
            <v>-450</v>
          </cell>
          <cell r="BS297">
            <v>0</v>
          </cell>
          <cell r="BT297">
            <v>1065.74</v>
          </cell>
          <cell r="BU297">
            <v>0</v>
          </cell>
          <cell r="BV297">
            <v>67</v>
          </cell>
          <cell r="BW297">
            <v>724</v>
          </cell>
          <cell r="BX297">
            <v>0</v>
          </cell>
          <cell r="BY297">
            <v>500</v>
          </cell>
          <cell r="BZ297">
            <v>545</v>
          </cell>
          <cell r="CA297">
            <v>225</v>
          </cell>
          <cell r="CB297">
            <v>0</v>
          </cell>
          <cell r="CC297">
            <v>150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row>
        <row r="298">
          <cell r="A298" t="str">
            <v>6790105</v>
          </cell>
          <cell r="B298" t="str">
            <v>6790105</v>
          </cell>
          <cell r="C298" t="str">
            <v>Fees-Trsm Line-Spot</v>
          </cell>
          <cell r="AE298">
            <v>0</v>
          </cell>
          <cell r="AF298">
            <v>47979.360000000001</v>
          </cell>
          <cell r="AG298">
            <v>0</v>
          </cell>
          <cell r="AH298">
            <v>0</v>
          </cell>
          <cell r="AI298">
            <v>0</v>
          </cell>
          <cell r="AJ298">
            <v>0</v>
          </cell>
          <cell r="AK298">
            <v>0</v>
          </cell>
          <cell r="AL298">
            <v>0</v>
          </cell>
          <cell r="AM298">
            <v>0</v>
          </cell>
          <cell r="AN298">
            <v>0</v>
          </cell>
          <cell r="AO298">
            <v>0</v>
          </cell>
          <cell r="AP298">
            <v>0</v>
          </cell>
          <cell r="AQ298">
            <v>0</v>
          </cell>
          <cell r="AR298">
            <v>0</v>
          </cell>
          <cell r="AS298">
            <v>25858.44</v>
          </cell>
          <cell r="AT298">
            <v>0</v>
          </cell>
          <cell r="AU298">
            <v>12.72</v>
          </cell>
          <cell r="AV298">
            <v>0</v>
          </cell>
          <cell r="AW298">
            <v>0</v>
          </cell>
          <cell r="AX298">
            <v>0</v>
          </cell>
          <cell r="AY298">
            <v>0</v>
          </cell>
          <cell r="AZ298">
            <v>0</v>
          </cell>
          <cell r="BA298">
            <v>0</v>
          </cell>
          <cell r="BB298">
            <v>0</v>
          </cell>
          <cell r="BC298">
            <v>25070.68</v>
          </cell>
          <cell r="BD298">
            <v>0</v>
          </cell>
          <cell r="BE298">
            <v>30054.639999999999</v>
          </cell>
          <cell r="BF298">
            <v>0</v>
          </cell>
          <cell r="BG298">
            <v>0</v>
          </cell>
          <cell r="BH298">
            <v>0</v>
          </cell>
          <cell r="BI298">
            <v>0</v>
          </cell>
          <cell r="BJ298">
            <v>0</v>
          </cell>
          <cell r="BK298">
            <v>0</v>
          </cell>
          <cell r="BL298">
            <v>0</v>
          </cell>
          <cell r="BM298">
            <v>0</v>
          </cell>
          <cell r="BN298">
            <v>0</v>
          </cell>
          <cell r="BO298">
            <v>56148.68</v>
          </cell>
          <cell r="BP298">
            <v>0</v>
          </cell>
          <cell r="BQ298">
            <v>0</v>
          </cell>
          <cell r="BR298">
            <v>0</v>
          </cell>
          <cell r="BS298">
            <v>0</v>
          </cell>
          <cell r="BT298">
            <v>0</v>
          </cell>
          <cell r="BU298">
            <v>0</v>
          </cell>
          <cell r="BV298">
            <v>0</v>
          </cell>
          <cell r="BW298">
            <v>0</v>
          </cell>
          <cell r="BX298">
            <v>0</v>
          </cell>
          <cell r="BY298">
            <v>0</v>
          </cell>
          <cell r="BZ298">
            <v>0</v>
          </cell>
          <cell r="CA298">
            <v>0</v>
          </cell>
          <cell r="CB298">
            <v>57941.61</v>
          </cell>
          <cell r="CC298">
            <v>0</v>
          </cell>
          <cell r="CD298">
            <v>0</v>
          </cell>
          <cell r="CE298">
            <v>0</v>
          </cell>
          <cell r="CF298">
            <v>0</v>
          </cell>
          <cell r="CG298">
            <v>0</v>
          </cell>
          <cell r="CH298">
            <v>0</v>
          </cell>
          <cell r="CI298">
            <v>0</v>
          </cell>
          <cell r="CJ298">
            <v>0</v>
          </cell>
          <cell r="CK298">
            <v>0</v>
          </cell>
          <cell r="CL298">
            <v>0</v>
          </cell>
          <cell r="CM298">
            <v>57873.96</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64799.68</v>
          </cell>
          <cell r="DB298">
            <v>0</v>
          </cell>
          <cell r="DC298">
            <v>0</v>
          </cell>
          <cell r="DD298">
            <v>0</v>
          </cell>
          <cell r="DE298">
            <v>0</v>
          </cell>
          <cell r="DF298">
            <v>0</v>
          </cell>
          <cell r="DG298">
            <v>0</v>
          </cell>
          <cell r="DH298">
            <v>64799.68</v>
          </cell>
        </row>
        <row r="299">
          <cell r="A299" t="str">
            <v>6790198</v>
          </cell>
          <cell r="B299" t="str">
            <v>6790198</v>
          </cell>
          <cell r="C299" t="str">
            <v>Fees - Miscellaneous - Above the line</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row>
        <row r="300">
          <cell r="A300" t="str">
            <v>6790199</v>
          </cell>
          <cell r="B300" t="str">
            <v>6790199</v>
          </cell>
          <cell r="C300" t="str">
            <v>Fees-Miscellaneous</v>
          </cell>
          <cell r="D300">
            <v>986.62</v>
          </cell>
          <cell r="E300">
            <v>16250.06</v>
          </cell>
          <cell r="F300">
            <v>1699.24</v>
          </cell>
          <cell r="G300">
            <v>42465.59</v>
          </cell>
          <cell r="H300">
            <v>26444.04</v>
          </cell>
          <cell r="I300">
            <v>2343.1</v>
          </cell>
          <cell r="J300">
            <v>3741.61</v>
          </cell>
          <cell r="K300">
            <v>1712.5</v>
          </cell>
          <cell r="L300">
            <v>3806.87</v>
          </cell>
          <cell r="M300">
            <v>679.12</v>
          </cell>
          <cell r="N300">
            <v>316.61</v>
          </cell>
          <cell r="O300">
            <v>183.99</v>
          </cell>
          <cell r="P300">
            <v>17.489999999999998</v>
          </cell>
          <cell r="Q300">
            <v>5640.53</v>
          </cell>
          <cell r="R300">
            <v>280.14</v>
          </cell>
          <cell r="S300">
            <v>50304.85</v>
          </cell>
          <cell r="T300">
            <v>45</v>
          </cell>
          <cell r="U300">
            <v>4187.45</v>
          </cell>
          <cell r="V300">
            <v>772.44</v>
          </cell>
          <cell r="W300">
            <v>83.9</v>
          </cell>
          <cell r="X300">
            <v>1086.79</v>
          </cell>
          <cell r="Y300">
            <v>24</v>
          </cell>
          <cell r="Z300">
            <v>63.1</v>
          </cell>
          <cell r="AA300">
            <v>112.71</v>
          </cell>
          <cell r="AB300">
            <v>0</v>
          </cell>
          <cell r="AC300">
            <v>5894.23</v>
          </cell>
          <cell r="AD300">
            <v>5</v>
          </cell>
          <cell r="AE300">
            <v>295</v>
          </cell>
          <cell r="AF300">
            <v>195.51</v>
          </cell>
          <cell r="AG300">
            <v>25</v>
          </cell>
          <cell r="AH300">
            <v>285.94</v>
          </cell>
          <cell r="AI300">
            <v>145.88999999999999</v>
          </cell>
          <cell r="AJ300">
            <v>4450</v>
          </cell>
          <cell r="AK300">
            <v>0</v>
          </cell>
          <cell r="AL300">
            <v>11</v>
          </cell>
          <cell r="AM300">
            <v>512.51</v>
          </cell>
          <cell r="AN300">
            <v>44.9</v>
          </cell>
          <cell r="AO300">
            <v>8419.2999999999993</v>
          </cell>
          <cell r="AP300">
            <v>709.08</v>
          </cell>
          <cell r="AQ300">
            <v>282.5</v>
          </cell>
          <cell r="AR300">
            <v>108.07</v>
          </cell>
          <cell r="AS300">
            <v>30022.240000000002</v>
          </cell>
          <cell r="AT300">
            <v>3273.87</v>
          </cell>
          <cell r="AU300">
            <v>373.72</v>
          </cell>
          <cell r="AV300">
            <v>1118</v>
          </cell>
          <cell r="AW300">
            <v>15327.98</v>
          </cell>
          <cell r="AX300">
            <v>238.5</v>
          </cell>
          <cell r="AY300">
            <v>752.13</v>
          </cell>
          <cell r="AZ300">
            <v>0</v>
          </cell>
          <cell r="BA300">
            <v>6265.73</v>
          </cell>
          <cell r="BB300">
            <v>459.36</v>
          </cell>
          <cell r="BC300">
            <v>345.76</v>
          </cell>
          <cell r="BD300">
            <v>1014.01</v>
          </cell>
          <cell r="BE300">
            <v>1072.0999999999999</v>
          </cell>
          <cell r="BF300">
            <v>2394.9899999999998</v>
          </cell>
          <cell r="BG300">
            <v>3474.39</v>
          </cell>
          <cell r="BH300">
            <v>183</v>
          </cell>
          <cell r="BI300">
            <v>266.38</v>
          </cell>
          <cell r="BJ300">
            <v>0</v>
          </cell>
          <cell r="BK300">
            <v>801.64</v>
          </cell>
          <cell r="BL300">
            <v>275</v>
          </cell>
          <cell r="BM300">
            <v>6240.79</v>
          </cell>
          <cell r="BN300">
            <v>-5739.43</v>
          </cell>
          <cell r="BO300">
            <v>2</v>
          </cell>
          <cell r="BP300">
            <v>51</v>
          </cell>
          <cell r="BQ300">
            <v>210</v>
          </cell>
          <cell r="BR300">
            <v>1904.19</v>
          </cell>
          <cell r="BS300">
            <v>195.54</v>
          </cell>
          <cell r="BT300">
            <v>565.85</v>
          </cell>
          <cell r="BU300">
            <v>5451.5</v>
          </cell>
          <cell r="BV300">
            <v>3013.15</v>
          </cell>
          <cell r="BW300">
            <v>669</v>
          </cell>
          <cell r="BX300">
            <v>24284.71</v>
          </cell>
          <cell r="BY300">
            <v>175</v>
          </cell>
          <cell r="BZ300">
            <v>608.23</v>
          </cell>
          <cell r="CA300">
            <v>11.24</v>
          </cell>
          <cell r="CB300">
            <v>45</v>
          </cell>
          <cell r="CC300">
            <v>5989.4</v>
          </cell>
          <cell r="CD300">
            <v>0</v>
          </cell>
          <cell r="CE300">
            <v>1227.5</v>
          </cell>
          <cell r="CF300">
            <v>205.57</v>
          </cell>
          <cell r="CG300">
            <v>775.37</v>
          </cell>
          <cell r="CH300">
            <v>559.16</v>
          </cell>
          <cell r="CI300">
            <v>590.17999999999995</v>
          </cell>
          <cell r="CJ300">
            <v>2752.42</v>
          </cell>
          <cell r="CK300">
            <v>165.58</v>
          </cell>
          <cell r="CL300">
            <v>1661.11</v>
          </cell>
          <cell r="CM300">
            <v>309.33</v>
          </cell>
          <cell r="CN300">
            <v>544.64</v>
          </cell>
          <cell r="CO300">
            <v>1655.98</v>
          </cell>
          <cell r="CP300">
            <v>2414.29</v>
          </cell>
          <cell r="CQ300">
            <v>1600.42</v>
          </cell>
          <cell r="CR300">
            <v>186.73</v>
          </cell>
          <cell r="CS300">
            <v>2784.75</v>
          </cell>
          <cell r="CT300">
            <v>12490.15</v>
          </cell>
          <cell r="CU300">
            <v>5794.52</v>
          </cell>
          <cell r="CV300">
            <v>1030.71</v>
          </cell>
          <cell r="CW300">
            <v>1987.91</v>
          </cell>
          <cell r="CX300">
            <v>2585.13</v>
          </cell>
          <cell r="CY300">
            <v>9630.4500000000007</v>
          </cell>
          <cell r="CZ300">
            <v>5391.82</v>
          </cell>
          <cell r="DA300">
            <v>3697.03</v>
          </cell>
          <cell r="DB300">
            <v>967.45</v>
          </cell>
          <cell r="DC300">
            <v>19911.59</v>
          </cell>
          <cell r="DD300">
            <v>3946.46</v>
          </cell>
          <cell r="DE300">
            <v>2362.84</v>
          </cell>
          <cell r="DF300">
            <v>8410.76</v>
          </cell>
          <cell r="DG300">
            <v>1984.29</v>
          </cell>
          <cell r="DH300">
            <v>61906.44</v>
          </cell>
        </row>
        <row r="301">
          <cell r="A301" t="str">
            <v>6790200</v>
          </cell>
          <cell r="B301" t="str">
            <v>6790200</v>
          </cell>
          <cell r="C301" t="str">
            <v>Penalties</v>
          </cell>
          <cell r="AD301">
            <v>1000000</v>
          </cell>
          <cell r="AE301">
            <v>0</v>
          </cell>
          <cell r="AF301">
            <v>0</v>
          </cell>
          <cell r="AG301">
            <v>0</v>
          </cell>
          <cell r="AH301">
            <v>0</v>
          </cell>
          <cell r="AI301">
            <v>0</v>
          </cell>
          <cell r="AJ301">
            <v>0</v>
          </cell>
          <cell r="AK301">
            <v>0</v>
          </cell>
          <cell r="AL301">
            <v>0</v>
          </cell>
          <cell r="AM301">
            <v>0</v>
          </cell>
          <cell r="AN301">
            <v>0</v>
          </cell>
          <cell r="AO301">
            <v>0</v>
          </cell>
          <cell r="AP301">
            <v>0</v>
          </cell>
          <cell r="AQ301">
            <v>973.26</v>
          </cell>
          <cell r="AR301">
            <v>0</v>
          </cell>
          <cell r="AS301">
            <v>49.71</v>
          </cell>
          <cell r="AT301">
            <v>0</v>
          </cell>
          <cell r="AU301">
            <v>0</v>
          </cell>
          <cell r="AV301">
            <v>0</v>
          </cell>
          <cell r="AW301">
            <v>0</v>
          </cell>
          <cell r="AX301">
            <v>0</v>
          </cell>
          <cell r="AY301">
            <v>0</v>
          </cell>
          <cell r="AZ301">
            <v>0</v>
          </cell>
          <cell r="BA301">
            <v>692.94</v>
          </cell>
          <cell r="BB301">
            <v>0</v>
          </cell>
          <cell r="BC301">
            <v>0</v>
          </cell>
          <cell r="BD301">
            <v>0</v>
          </cell>
          <cell r="BE301">
            <v>0</v>
          </cell>
          <cell r="BF301">
            <v>0</v>
          </cell>
          <cell r="BG301">
            <v>0</v>
          </cell>
          <cell r="BH301">
            <v>0</v>
          </cell>
          <cell r="BI301">
            <v>500</v>
          </cell>
          <cell r="BJ301">
            <v>-500</v>
          </cell>
          <cell r="BK301">
            <v>0</v>
          </cell>
          <cell r="BL301">
            <v>0</v>
          </cell>
          <cell r="BM301">
            <v>0</v>
          </cell>
          <cell r="BN301">
            <v>0</v>
          </cell>
          <cell r="BO301">
            <v>0</v>
          </cell>
          <cell r="BP301">
            <v>0</v>
          </cell>
          <cell r="BQ301">
            <v>0</v>
          </cell>
          <cell r="BR301">
            <v>0</v>
          </cell>
          <cell r="BS301">
            <v>0</v>
          </cell>
          <cell r="BT301">
            <v>0</v>
          </cell>
          <cell r="BU301">
            <v>555.34</v>
          </cell>
          <cell r="BV301">
            <v>-441.91</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row>
        <row r="302">
          <cell r="A302" t="str">
            <v>6790210</v>
          </cell>
          <cell r="B302" t="str">
            <v>6790210</v>
          </cell>
          <cell r="C302" t="str">
            <v>Permitting</v>
          </cell>
          <cell r="D302">
            <v>39226.199999999997</v>
          </cell>
          <cell r="E302">
            <v>14855.65</v>
          </cell>
          <cell r="F302">
            <v>107533.11</v>
          </cell>
          <cell r="G302">
            <v>13090.81</v>
          </cell>
          <cell r="H302">
            <v>122453.35</v>
          </cell>
          <cell r="I302">
            <v>153337.46</v>
          </cell>
          <cell r="J302">
            <v>60052.38</v>
          </cell>
          <cell r="K302">
            <v>207486.02</v>
          </cell>
          <cell r="L302">
            <v>50941.49</v>
          </cell>
          <cell r="M302">
            <v>48479.74</v>
          </cell>
          <cell r="N302">
            <v>145606.32</v>
          </cell>
          <cell r="O302">
            <v>80809.119999999995</v>
          </cell>
          <cell r="P302">
            <v>24830.23</v>
          </cell>
          <cell r="Q302">
            <v>20490.98</v>
          </cell>
          <cell r="R302">
            <v>12946.83</v>
          </cell>
          <cell r="S302">
            <v>21581.02</v>
          </cell>
          <cell r="T302">
            <v>14849.35</v>
          </cell>
          <cell r="U302">
            <v>15496.63</v>
          </cell>
          <cell r="V302">
            <v>28912.639999999999</v>
          </cell>
          <cell r="W302">
            <v>3037.56</v>
          </cell>
          <cell r="X302">
            <v>29992.51</v>
          </cell>
          <cell r="Y302">
            <v>15271.14</v>
          </cell>
          <cell r="Z302">
            <v>15436.62</v>
          </cell>
          <cell r="AA302">
            <v>111665.67</v>
          </cell>
          <cell r="AB302">
            <v>20794.810000000001</v>
          </cell>
          <cell r="AC302">
            <v>50657.57</v>
          </cell>
          <cell r="AD302">
            <v>29481.27</v>
          </cell>
          <cell r="AE302">
            <v>31431.79</v>
          </cell>
          <cell r="AF302">
            <v>32128.49</v>
          </cell>
          <cell r="AG302">
            <v>39555.29</v>
          </cell>
          <cell r="AH302">
            <v>20452.12</v>
          </cell>
          <cell r="AI302">
            <v>30229.43</v>
          </cell>
          <cell r="AJ302">
            <v>43830.55</v>
          </cell>
          <cell r="AK302">
            <v>38730.949999999997</v>
          </cell>
          <cell r="AL302">
            <v>46247.92</v>
          </cell>
          <cell r="AM302">
            <v>111226.14</v>
          </cell>
          <cell r="AN302">
            <v>24218.99</v>
          </cell>
          <cell r="AO302">
            <v>24300.31</v>
          </cell>
          <cell r="AP302">
            <v>68457.539999999994</v>
          </cell>
          <cell r="AQ302">
            <v>60747.07</v>
          </cell>
          <cell r="AR302">
            <v>74640.259999999995</v>
          </cell>
          <cell r="AS302">
            <v>43608.63</v>
          </cell>
          <cell r="AT302">
            <v>8140.68</v>
          </cell>
          <cell r="AU302">
            <v>43456.65</v>
          </cell>
          <cell r="AV302">
            <v>28305.58</v>
          </cell>
          <cell r="AW302">
            <v>42185.56</v>
          </cell>
          <cell r="AX302">
            <v>26219.8</v>
          </cell>
          <cell r="AY302">
            <v>142280.75</v>
          </cell>
          <cell r="AZ302">
            <v>21682.14</v>
          </cell>
          <cell r="BA302">
            <v>86044.68</v>
          </cell>
          <cell r="BB302">
            <v>47767.93</v>
          </cell>
          <cell r="BC302">
            <v>49656.35</v>
          </cell>
          <cell r="BD302">
            <v>49777.13</v>
          </cell>
          <cell r="BE302">
            <v>79125.31</v>
          </cell>
          <cell r="BF302">
            <v>29759.16</v>
          </cell>
          <cell r="BG302">
            <v>68503.27</v>
          </cell>
          <cell r="BH302">
            <v>50575.17</v>
          </cell>
          <cell r="BI302">
            <v>83724.02</v>
          </cell>
          <cell r="BJ302">
            <v>272268.06</v>
          </cell>
          <cell r="BK302">
            <v>154080.73000000001</v>
          </cell>
          <cell r="BL302">
            <v>17941</v>
          </cell>
          <cell r="BM302">
            <v>52092.06</v>
          </cell>
          <cell r="BN302">
            <v>98490.43</v>
          </cell>
          <cell r="BO302">
            <v>42526.59</v>
          </cell>
          <cell r="BP302">
            <v>138693.95000000001</v>
          </cell>
          <cell r="BQ302">
            <v>75306.240000000005</v>
          </cell>
          <cell r="BR302">
            <v>84128.76</v>
          </cell>
          <cell r="BS302">
            <v>89245.93</v>
          </cell>
          <cell r="BT302">
            <v>82221.16</v>
          </cell>
          <cell r="BU302">
            <v>89528.6</v>
          </cell>
          <cell r="BV302">
            <v>38170.519999999997</v>
          </cell>
          <cell r="BW302">
            <v>162217.56</v>
          </cell>
          <cell r="BX302">
            <v>32360.3</v>
          </cell>
          <cell r="BY302">
            <v>-79225.100000000006</v>
          </cell>
          <cell r="BZ302">
            <v>104939.77</v>
          </cell>
          <cell r="CA302">
            <v>55645.06</v>
          </cell>
          <cell r="CB302">
            <v>125919.76</v>
          </cell>
          <cell r="CC302">
            <v>31322.16</v>
          </cell>
          <cell r="CD302">
            <v>340800.99</v>
          </cell>
          <cell r="CE302">
            <v>132754.22</v>
          </cell>
          <cell r="CF302">
            <v>170407.94</v>
          </cell>
          <cell r="CG302">
            <v>254662.53</v>
          </cell>
          <cell r="CH302">
            <v>187215.88</v>
          </cell>
          <cell r="CI302">
            <v>122199.54</v>
          </cell>
          <cell r="CJ302">
            <v>38054.629999999997</v>
          </cell>
          <cell r="CK302">
            <v>375979.1</v>
          </cell>
          <cell r="CL302">
            <v>75021.460000000006</v>
          </cell>
          <cell r="CM302">
            <v>88944.54</v>
          </cell>
          <cell r="CN302">
            <v>76776.83</v>
          </cell>
          <cell r="CO302">
            <v>57837.63</v>
          </cell>
          <cell r="CP302">
            <v>67498.740000000005</v>
          </cell>
          <cell r="CQ302">
            <v>77636.88</v>
          </cell>
          <cell r="CR302">
            <v>151340.49</v>
          </cell>
          <cell r="CS302">
            <v>66066.289999999994</v>
          </cell>
          <cell r="CT302">
            <v>124086.46</v>
          </cell>
          <cell r="CU302">
            <v>180439.46</v>
          </cell>
          <cell r="CV302">
            <v>14653.97</v>
          </cell>
          <cell r="CW302">
            <v>75348.83</v>
          </cell>
          <cell r="CX302">
            <v>146024.42000000001</v>
          </cell>
          <cell r="CY302">
            <v>75788.320000000007</v>
          </cell>
          <cell r="CZ302">
            <v>90977.59</v>
          </cell>
          <cell r="DA302">
            <v>103455.37</v>
          </cell>
          <cell r="DB302">
            <v>68959</v>
          </cell>
          <cell r="DC302">
            <v>100046.89</v>
          </cell>
          <cell r="DD302">
            <v>101083.87</v>
          </cell>
          <cell r="DE302">
            <v>45566.21</v>
          </cell>
          <cell r="DF302">
            <v>46883.55</v>
          </cell>
          <cell r="DG302">
            <v>137102.64000000001</v>
          </cell>
          <cell r="DH302">
            <v>1005890.66</v>
          </cell>
        </row>
        <row r="303">
          <cell r="A303" t="str">
            <v>6790220</v>
          </cell>
          <cell r="B303" t="str">
            <v>6790220</v>
          </cell>
          <cell r="C303" t="str">
            <v>Political Contrib</v>
          </cell>
          <cell r="D303">
            <v>4166.66</v>
          </cell>
          <cell r="E303">
            <v>8333.32</v>
          </cell>
          <cell r="F303">
            <v>4166.66</v>
          </cell>
          <cell r="G303">
            <v>4166.66</v>
          </cell>
          <cell r="H303">
            <v>4166.66</v>
          </cell>
          <cell r="I303">
            <v>4166.66</v>
          </cell>
          <cell r="J303">
            <v>4166.66</v>
          </cell>
          <cell r="K303">
            <v>4166.66</v>
          </cell>
          <cell r="L303">
            <v>4166.66</v>
          </cell>
          <cell r="M303">
            <v>4166.66</v>
          </cell>
          <cell r="N303">
            <v>4166.66</v>
          </cell>
          <cell r="O303">
            <v>8333.32</v>
          </cell>
          <cell r="P303">
            <v>4166.66</v>
          </cell>
          <cell r="Q303">
            <v>4166.66</v>
          </cell>
          <cell r="R303">
            <v>4166.66</v>
          </cell>
          <cell r="S303">
            <v>21333.3</v>
          </cell>
          <cell r="T303">
            <v>8333.32</v>
          </cell>
          <cell r="U303">
            <v>8333.32</v>
          </cell>
          <cell r="V303">
            <v>8333.32</v>
          </cell>
          <cell r="W303">
            <v>8333.32</v>
          </cell>
          <cell r="X303">
            <v>8398.85</v>
          </cell>
          <cell r="Y303">
            <v>8333.32</v>
          </cell>
          <cell r="Z303">
            <v>8358.5499999999993</v>
          </cell>
          <cell r="AA303">
            <v>38333.32</v>
          </cell>
          <cell r="AB303">
            <v>8333.32</v>
          </cell>
          <cell r="AC303">
            <v>8333.32</v>
          </cell>
          <cell r="AD303">
            <v>8333.32</v>
          </cell>
          <cell r="AE303">
            <v>8333.32</v>
          </cell>
          <cell r="AF303">
            <v>8333.32</v>
          </cell>
          <cell r="AG303">
            <v>18468.66</v>
          </cell>
          <cell r="AH303">
            <v>8333.32</v>
          </cell>
          <cell r="AI303">
            <v>8333.32</v>
          </cell>
          <cell r="AJ303">
            <v>8333.32</v>
          </cell>
          <cell r="AK303">
            <v>8333.32</v>
          </cell>
          <cell r="AL303">
            <v>8333.32</v>
          </cell>
          <cell r="AM303">
            <v>8333.32</v>
          </cell>
          <cell r="AN303">
            <v>4166.66</v>
          </cell>
          <cell r="AO303">
            <v>-4166.66</v>
          </cell>
          <cell r="AP303">
            <v>0</v>
          </cell>
          <cell r="AQ303">
            <v>0</v>
          </cell>
          <cell r="AR303">
            <v>0</v>
          </cell>
          <cell r="AS303">
            <v>0</v>
          </cell>
          <cell r="AT303">
            <v>0</v>
          </cell>
          <cell r="AU303">
            <v>0</v>
          </cell>
          <cell r="AV303">
            <v>4166.66</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25000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1100</v>
          </cell>
          <cell r="CC303">
            <v>0</v>
          </cell>
          <cell r="CD303">
            <v>0</v>
          </cell>
          <cell r="CE303">
            <v>0</v>
          </cell>
          <cell r="CF303">
            <v>0</v>
          </cell>
          <cell r="CG303">
            <v>5000</v>
          </cell>
          <cell r="CH303">
            <v>0</v>
          </cell>
          <cell r="CI303">
            <v>0</v>
          </cell>
          <cell r="CJ303">
            <v>0</v>
          </cell>
          <cell r="CK303">
            <v>0</v>
          </cell>
          <cell r="CL303">
            <v>10000</v>
          </cell>
          <cell r="CM303">
            <v>0</v>
          </cell>
          <cell r="CN303">
            <v>0</v>
          </cell>
          <cell r="CO303">
            <v>0</v>
          </cell>
          <cell r="CP303">
            <v>0</v>
          </cell>
          <cell r="CQ303">
            <v>0</v>
          </cell>
          <cell r="CR303">
            <v>0</v>
          </cell>
          <cell r="CS303">
            <v>0</v>
          </cell>
          <cell r="CT303">
            <v>0</v>
          </cell>
          <cell r="CU303">
            <v>0</v>
          </cell>
          <cell r="CV303">
            <v>0</v>
          </cell>
          <cell r="CW303">
            <v>0</v>
          </cell>
          <cell r="CX303">
            <v>24000</v>
          </cell>
          <cell r="CY303">
            <v>10000</v>
          </cell>
          <cell r="CZ303">
            <v>0</v>
          </cell>
          <cell r="DA303">
            <v>0</v>
          </cell>
          <cell r="DB303">
            <v>0</v>
          </cell>
          <cell r="DC303">
            <v>16000</v>
          </cell>
          <cell r="DD303">
            <v>1000</v>
          </cell>
          <cell r="DE303">
            <v>0</v>
          </cell>
          <cell r="DF303">
            <v>0</v>
          </cell>
          <cell r="DG303">
            <v>0</v>
          </cell>
          <cell r="DH303">
            <v>51000</v>
          </cell>
        </row>
        <row r="304">
          <cell r="A304" t="str">
            <v>6790230</v>
          </cell>
          <cell r="B304" t="str">
            <v>6790230</v>
          </cell>
          <cell r="C304" t="str">
            <v>Postage Ship Courier</v>
          </cell>
          <cell r="D304">
            <v>145413.54999999999</v>
          </cell>
          <cell r="E304">
            <v>135669.16</v>
          </cell>
          <cell r="F304">
            <v>133858.75</v>
          </cell>
          <cell r="G304">
            <v>151658.54999999999</v>
          </cell>
          <cell r="H304">
            <v>150052.21</v>
          </cell>
          <cell r="I304">
            <v>155413.43</v>
          </cell>
          <cell r="J304">
            <v>159178.19</v>
          </cell>
          <cell r="K304">
            <v>147205.38</v>
          </cell>
          <cell r="L304">
            <v>144543.92000000001</v>
          </cell>
          <cell r="M304">
            <v>150886.87</v>
          </cell>
          <cell r="N304">
            <v>151993.01</v>
          </cell>
          <cell r="O304">
            <v>157502.82</v>
          </cell>
          <cell r="P304">
            <v>143089.89000000001</v>
          </cell>
          <cell r="Q304">
            <v>147180.29</v>
          </cell>
          <cell r="R304">
            <v>148729.37</v>
          </cell>
          <cell r="S304">
            <v>143070.43</v>
          </cell>
          <cell r="T304">
            <v>143701.64000000001</v>
          </cell>
          <cell r="U304">
            <v>149630.41</v>
          </cell>
          <cell r="V304">
            <v>150873.92000000001</v>
          </cell>
          <cell r="W304">
            <v>147302.22</v>
          </cell>
          <cell r="X304">
            <v>143215.91</v>
          </cell>
          <cell r="Y304">
            <v>152678.73000000001</v>
          </cell>
          <cell r="Z304">
            <v>158251.37</v>
          </cell>
          <cell r="AA304">
            <v>158575.66</v>
          </cell>
          <cell r="AB304">
            <v>146595.26999999999</v>
          </cell>
          <cell r="AC304">
            <v>163017.34</v>
          </cell>
          <cell r="AD304">
            <v>173083.65</v>
          </cell>
          <cell r="AE304">
            <v>148781.15</v>
          </cell>
          <cell r="AF304">
            <v>151967.37</v>
          </cell>
          <cell r="AG304">
            <v>144907.82</v>
          </cell>
          <cell r="AH304">
            <v>135384.76</v>
          </cell>
          <cell r="AI304">
            <v>162138.42000000001</v>
          </cell>
          <cell r="AJ304">
            <v>162237.43</v>
          </cell>
          <cell r="AK304">
            <v>150717.14000000001</v>
          </cell>
          <cell r="AL304">
            <v>153572.39000000001</v>
          </cell>
          <cell r="AM304">
            <v>199239.69</v>
          </cell>
          <cell r="AN304">
            <v>145115.25</v>
          </cell>
          <cell r="AO304">
            <v>147259.76</v>
          </cell>
          <cell r="AP304">
            <v>-73423.31</v>
          </cell>
          <cell r="AQ304">
            <v>61544.54</v>
          </cell>
          <cell r="AR304">
            <v>13888.28</v>
          </cell>
          <cell r="AS304">
            <v>18252.91</v>
          </cell>
          <cell r="AT304">
            <v>12396.55</v>
          </cell>
          <cell r="AU304">
            <v>13532.87</v>
          </cell>
          <cell r="AV304">
            <v>-30614</v>
          </cell>
          <cell r="AW304">
            <v>18667.740000000002</v>
          </cell>
          <cell r="AX304">
            <v>10407.77</v>
          </cell>
          <cell r="AY304">
            <v>17283.21</v>
          </cell>
          <cell r="AZ304">
            <v>10769.5</v>
          </cell>
          <cell r="BA304">
            <v>9598.91</v>
          </cell>
          <cell r="BB304">
            <v>21602.58</v>
          </cell>
          <cell r="BC304">
            <v>9353.3700000000008</v>
          </cell>
          <cell r="BD304">
            <v>12504.37</v>
          </cell>
          <cell r="BE304">
            <v>13438.85</v>
          </cell>
          <cell r="BF304">
            <v>17439.88</v>
          </cell>
          <cell r="BG304">
            <v>11611.17</v>
          </cell>
          <cell r="BH304">
            <v>15275.87</v>
          </cell>
          <cell r="BI304">
            <v>9945.52</v>
          </cell>
          <cell r="BJ304">
            <v>9155.49</v>
          </cell>
          <cell r="BK304">
            <v>18168.900000000001</v>
          </cell>
          <cell r="BL304">
            <v>11991.49</v>
          </cell>
          <cell r="BM304">
            <v>21530.69</v>
          </cell>
          <cell r="BN304">
            <v>19344.349999999999</v>
          </cell>
          <cell r="BO304">
            <v>14216.77</v>
          </cell>
          <cell r="BP304">
            <v>25131.83</v>
          </cell>
          <cell r="BQ304">
            <v>9113.32</v>
          </cell>
          <cell r="BR304">
            <v>19460.55</v>
          </cell>
          <cell r="BS304">
            <v>11889.6</v>
          </cell>
          <cell r="BT304">
            <v>8726.77</v>
          </cell>
          <cell r="BU304">
            <v>6406.66</v>
          </cell>
          <cell r="BV304">
            <v>8836.9500000000007</v>
          </cell>
          <cell r="BW304">
            <v>11968.47</v>
          </cell>
          <cell r="BX304">
            <v>7026.03</v>
          </cell>
          <cell r="BY304">
            <v>15062.63</v>
          </cell>
          <cell r="BZ304">
            <v>6728.49</v>
          </cell>
          <cell r="CA304">
            <v>9333.2800000000007</v>
          </cell>
          <cell r="CB304">
            <v>19065.28</v>
          </cell>
          <cell r="CC304">
            <v>15926.84</v>
          </cell>
          <cell r="CD304">
            <v>6141.16</v>
          </cell>
          <cell r="CE304">
            <v>21197.14</v>
          </cell>
          <cell r="CF304">
            <v>50999.54</v>
          </cell>
          <cell r="CG304">
            <v>24061.14</v>
          </cell>
          <cell r="CH304">
            <v>6641.23</v>
          </cell>
          <cell r="CI304">
            <v>20447.07</v>
          </cell>
          <cell r="CJ304">
            <v>26767.95</v>
          </cell>
          <cell r="CK304">
            <v>17703.32</v>
          </cell>
          <cell r="CL304">
            <v>10914.08</v>
          </cell>
          <cell r="CM304">
            <v>16006.87</v>
          </cell>
          <cell r="CN304">
            <v>13922.13</v>
          </cell>
          <cell r="CO304">
            <v>39721.5</v>
          </cell>
          <cell r="CP304">
            <v>21239.64</v>
          </cell>
          <cell r="CQ304">
            <v>6015.55</v>
          </cell>
          <cell r="CR304">
            <v>5763.73</v>
          </cell>
          <cell r="CS304">
            <v>14639.23</v>
          </cell>
          <cell r="CT304">
            <v>18296.73</v>
          </cell>
          <cell r="CU304">
            <v>18764.669999999998</v>
          </cell>
          <cell r="CV304">
            <v>8651.2199999999993</v>
          </cell>
          <cell r="CW304">
            <v>21998.19</v>
          </cell>
          <cell r="CX304">
            <v>15631.47</v>
          </cell>
          <cell r="CY304">
            <v>28304.48</v>
          </cell>
          <cell r="CZ304">
            <v>13285.85</v>
          </cell>
          <cell r="DA304">
            <v>31820.67</v>
          </cell>
          <cell r="DB304">
            <v>8270.98</v>
          </cell>
          <cell r="DC304">
            <v>10237.83</v>
          </cell>
          <cell r="DD304">
            <v>8246.34</v>
          </cell>
          <cell r="DE304">
            <v>8148.23</v>
          </cell>
          <cell r="DF304">
            <v>9181.16</v>
          </cell>
          <cell r="DG304">
            <v>22178.67</v>
          </cell>
          <cell r="DH304">
            <v>185955.09000000003</v>
          </cell>
        </row>
        <row r="305">
          <cell r="A305" t="str">
            <v>6790250</v>
          </cell>
          <cell r="B305" t="str">
            <v>6790250</v>
          </cell>
          <cell r="C305" t="str">
            <v>Ene Conserv Allow</v>
          </cell>
          <cell r="D305">
            <v>949747.72</v>
          </cell>
          <cell r="E305">
            <v>664070.30000000005</v>
          </cell>
          <cell r="F305">
            <v>661395.06000000006</v>
          </cell>
          <cell r="G305">
            <v>725438.33</v>
          </cell>
          <cell r="H305">
            <v>691790.3</v>
          </cell>
          <cell r="I305">
            <v>749104.7</v>
          </cell>
          <cell r="J305">
            <v>1066480.49</v>
          </cell>
          <cell r="K305">
            <v>722618.03</v>
          </cell>
          <cell r="L305">
            <v>916547.67</v>
          </cell>
          <cell r="M305">
            <v>871316.52</v>
          </cell>
          <cell r="N305">
            <v>789809</v>
          </cell>
          <cell r="O305">
            <v>659061.64</v>
          </cell>
          <cell r="P305">
            <v>1238673.71</v>
          </cell>
          <cell r="Q305">
            <v>798909.74</v>
          </cell>
          <cell r="R305">
            <v>982440.77</v>
          </cell>
          <cell r="S305">
            <v>750071.64</v>
          </cell>
          <cell r="T305">
            <v>972817.13</v>
          </cell>
          <cell r="U305">
            <v>860955.2</v>
          </cell>
          <cell r="V305">
            <v>835690.83</v>
          </cell>
          <cell r="W305">
            <v>884452.64</v>
          </cell>
          <cell r="X305">
            <v>801866.48</v>
          </cell>
          <cell r="Y305">
            <v>1094078.82</v>
          </cell>
          <cell r="Z305">
            <v>799705.5</v>
          </cell>
          <cell r="AA305">
            <v>744157</v>
          </cell>
          <cell r="AB305">
            <v>973248.13</v>
          </cell>
          <cell r="AC305">
            <v>893701.61</v>
          </cell>
          <cell r="AD305">
            <v>903086.13</v>
          </cell>
          <cell r="AE305">
            <v>803985.28</v>
          </cell>
          <cell r="AF305">
            <v>1092920.43</v>
          </cell>
          <cell r="AG305">
            <v>999892.63</v>
          </cell>
          <cell r="AH305">
            <v>943172.28</v>
          </cell>
          <cell r="AI305">
            <v>1082283.04</v>
          </cell>
          <cell r="AJ305">
            <v>789706</v>
          </cell>
          <cell r="AK305">
            <v>1108295</v>
          </cell>
          <cell r="AL305">
            <v>794355</v>
          </cell>
          <cell r="AM305">
            <v>1407418.43</v>
          </cell>
          <cell r="AN305">
            <v>310156.13</v>
          </cell>
          <cell r="AO305">
            <v>606636.23</v>
          </cell>
          <cell r="AP305">
            <v>838760</v>
          </cell>
          <cell r="AQ305">
            <v>815111.9</v>
          </cell>
          <cell r="AR305">
            <v>1318245.74</v>
          </cell>
          <cell r="AS305">
            <v>1393443.36</v>
          </cell>
          <cell r="AT305">
            <v>1338417.76</v>
          </cell>
          <cell r="AU305">
            <v>1558462.55</v>
          </cell>
          <cell r="AV305">
            <v>1236449.33</v>
          </cell>
          <cell r="AW305">
            <v>1536339.34</v>
          </cell>
          <cell r="AX305">
            <v>1053332.5</v>
          </cell>
          <cell r="AY305">
            <v>929645.42</v>
          </cell>
          <cell r="AZ305">
            <v>1200823.93</v>
          </cell>
          <cell r="BA305">
            <v>1460370.95</v>
          </cell>
          <cell r="BB305">
            <v>1683817.51</v>
          </cell>
          <cell r="BC305">
            <v>2493383.5499999998</v>
          </cell>
          <cell r="BD305">
            <v>897165.18</v>
          </cell>
          <cell r="BE305">
            <v>968573.87</v>
          </cell>
          <cell r="BF305">
            <v>1917275.91</v>
          </cell>
          <cell r="BG305">
            <v>1282213.32</v>
          </cell>
          <cell r="BH305">
            <v>840282.22</v>
          </cell>
          <cell r="BI305">
            <v>1629079.68</v>
          </cell>
          <cell r="BJ305">
            <v>940347.54</v>
          </cell>
          <cell r="BK305">
            <v>1251110.43</v>
          </cell>
          <cell r="BL305">
            <v>1596912.9</v>
          </cell>
          <cell r="BM305">
            <v>735501.5</v>
          </cell>
          <cell r="BN305">
            <v>947344.03</v>
          </cell>
          <cell r="BO305">
            <v>1151279.18</v>
          </cell>
          <cell r="BP305">
            <v>925124.02</v>
          </cell>
          <cell r="BQ305">
            <v>1723184.5</v>
          </cell>
          <cell r="BR305">
            <v>1992930.82</v>
          </cell>
          <cell r="BS305">
            <v>1308875</v>
          </cell>
          <cell r="BT305">
            <v>901355.78</v>
          </cell>
          <cell r="BU305">
            <v>1214722.19</v>
          </cell>
          <cell r="BV305">
            <v>1237925</v>
          </cell>
          <cell r="BW305">
            <v>1323290.27</v>
          </cell>
          <cell r="BX305">
            <v>1431402.19</v>
          </cell>
          <cell r="BY305">
            <v>1001450</v>
          </cell>
          <cell r="BZ305">
            <v>983821.67</v>
          </cell>
          <cell r="CA305">
            <v>1322282.1599999999</v>
          </cell>
          <cell r="CB305">
            <v>1188625</v>
          </cell>
          <cell r="CC305">
            <v>1323574.3400000001</v>
          </cell>
          <cell r="CD305">
            <v>1155282.55</v>
          </cell>
          <cell r="CE305">
            <v>1204895</v>
          </cell>
          <cell r="CF305">
            <v>1574379.68</v>
          </cell>
          <cell r="CG305">
            <v>1436685.15</v>
          </cell>
          <cell r="CH305">
            <v>1170515.52</v>
          </cell>
          <cell r="CI305">
            <v>1300004.18</v>
          </cell>
          <cell r="CJ305">
            <v>1165084.99</v>
          </cell>
          <cell r="CK305">
            <v>1474994.81</v>
          </cell>
          <cell r="CL305">
            <v>1512938.21</v>
          </cell>
          <cell r="CM305">
            <v>1312487.97</v>
          </cell>
          <cell r="CN305">
            <v>1151022.1100000001</v>
          </cell>
          <cell r="CO305">
            <v>1138248.71</v>
          </cell>
          <cell r="CP305">
            <v>1285814.52</v>
          </cell>
          <cell r="CQ305">
            <v>912122.83</v>
          </cell>
          <cell r="CR305">
            <v>1422266.67</v>
          </cell>
          <cell r="CS305">
            <v>1374323.46</v>
          </cell>
          <cell r="CT305">
            <v>1332031.74</v>
          </cell>
          <cell r="CU305">
            <v>1042586.03</v>
          </cell>
          <cell r="CV305">
            <v>1611741.49</v>
          </cell>
          <cell r="CW305">
            <v>1348559.31</v>
          </cell>
          <cell r="CX305">
            <v>2526455.63</v>
          </cell>
          <cell r="CY305">
            <v>1326253.45</v>
          </cell>
          <cell r="CZ305">
            <v>1051077.49</v>
          </cell>
          <cell r="DA305">
            <v>734608.53</v>
          </cell>
          <cell r="DB305">
            <v>2843416.59</v>
          </cell>
          <cell r="DC305">
            <v>1635224.13</v>
          </cell>
          <cell r="DD305">
            <v>2126065.61</v>
          </cell>
          <cell r="DE305">
            <v>1771693.16</v>
          </cell>
          <cell r="DF305">
            <v>1902959.89</v>
          </cell>
          <cell r="DG305">
            <v>1884431.12</v>
          </cell>
          <cell r="DH305">
            <v>20762486.400000002</v>
          </cell>
        </row>
        <row r="306">
          <cell r="A306" t="str">
            <v>6790255</v>
          </cell>
          <cell r="B306" t="str">
            <v>6790255</v>
          </cell>
          <cell r="C306" t="str">
            <v>Selling Mktg Exp</v>
          </cell>
          <cell r="D306">
            <v>28703.45</v>
          </cell>
          <cell r="E306">
            <v>8415.6200000000008</v>
          </cell>
          <cell r="F306">
            <v>12240</v>
          </cell>
          <cell r="G306">
            <v>10673.48</v>
          </cell>
          <cell r="H306">
            <v>35110.870000000003</v>
          </cell>
          <cell r="I306">
            <v>1072.56</v>
          </cell>
          <cell r="J306">
            <v>35119.71</v>
          </cell>
          <cell r="K306">
            <v>44010.32</v>
          </cell>
          <cell r="L306">
            <v>41096.82</v>
          </cell>
          <cell r="M306">
            <v>4537.0600000000004</v>
          </cell>
          <cell r="N306">
            <v>39148</v>
          </cell>
          <cell r="O306">
            <v>217946.21</v>
          </cell>
          <cell r="P306">
            <v>27202.799999999999</v>
          </cell>
          <cell r="Q306">
            <v>23459.63</v>
          </cell>
          <cell r="R306">
            <v>48424.6</v>
          </cell>
          <cell r="S306">
            <v>18817.36</v>
          </cell>
          <cell r="T306">
            <v>20928.060000000001</v>
          </cell>
          <cell r="U306">
            <v>34030.54</v>
          </cell>
          <cell r="V306">
            <v>69579.47</v>
          </cell>
          <cell r="W306">
            <v>85925.83</v>
          </cell>
          <cell r="X306">
            <v>24464.52</v>
          </cell>
          <cell r="Y306">
            <v>2940.42</v>
          </cell>
          <cell r="Z306">
            <v>169102.86</v>
          </cell>
          <cell r="AA306">
            <v>9925.5</v>
          </cell>
          <cell r="AB306">
            <v>16184.06</v>
          </cell>
          <cell r="AC306">
            <v>43901.45</v>
          </cell>
          <cell r="AD306">
            <v>18749.68</v>
          </cell>
          <cell r="AE306">
            <v>3346.5</v>
          </cell>
          <cell r="AF306">
            <v>209465.51</v>
          </cell>
          <cell r="AG306">
            <v>19640.189999999999</v>
          </cell>
          <cell r="AH306">
            <v>18012.490000000002</v>
          </cell>
          <cell r="AI306">
            <v>7416.01</v>
          </cell>
          <cell r="AJ306">
            <v>4854.8999999999996</v>
          </cell>
          <cell r="AK306">
            <v>26182.45</v>
          </cell>
          <cell r="AL306">
            <v>1833.19</v>
          </cell>
          <cell r="AM306">
            <v>49753.19</v>
          </cell>
          <cell r="AN306">
            <v>6170</v>
          </cell>
          <cell r="AO306">
            <v>15675</v>
          </cell>
          <cell r="AP306">
            <v>13190.68</v>
          </cell>
          <cell r="AQ306">
            <v>7045.14</v>
          </cell>
          <cell r="AR306">
            <v>5727</v>
          </cell>
          <cell r="AS306">
            <v>5000</v>
          </cell>
          <cell r="AT306">
            <v>158000</v>
          </cell>
          <cell r="AU306">
            <v>16575</v>
          </cell>
          <cell r="AV306">
            <v>10888.76</v>
          </cell>
          <cell r="AW306">
            <v>39988.629999999997</v>
          </cell>
          <cell r="AX306">
            <v>48248.58</v>
          </cell>
          <cell r="AY306">
            <v>-78016.05</v>
          </cell>
          <cell r="AZ306">
            <v>25475</v>
          </cell>
          <cell r="BA306">
            <v>16750</v>
          </cell>
          <cell r="BB306">
            <v>16399.3</v>
          </cell>
          <cell r="BC306">
            <v>-10934.5</v>
          </cell>
          <cell r="BD306">
            <v>7784</v>
          </cell>
          <cell r="BE306">
            <v>227.65</v>
          </cell>
          <cell r="BF306">
            <v>19875</v>
          </cell>
          <cell r="BG306">
            <v>4955.71</v>
          </cell>
          <cell r="BH306">
            <v>475.17</v>
          </cell>
          <cell r="BI306">
            <v>16951.55</v>
          </cell>
          <cell r="BJ306">
            <v>16103.77</v>
          </cell>
          <cell r="BK306">
            <v>40314.32</v>
          </cell>
          <cell r="BL306">
            <v>13835.11</v>
          </cell>
          <cell r="BM306">
            <v>17503.63</v>
          </cell>
          <cell r="BN306">
            <v>0</v>
          </cell>
          <cell r="BO306">
            <v>0</v>
          </cell>
          <cell r="BP306">
            <v>165194.6</v>
          </cell>
          <cell r="BQ306">
            <v>0</v>
          </cell>
          <cell r="BR306">
            <v>1684.78</v>
          </cell>
          <cell r="BS306">
            <v>0</v>
          </cell>
          <cell r="BT306">
            <v>7247.77</v>
          </cell>
          <cell r="BU306">
            <v>1554.98</v>
          </cell>
          <cell r="BV306">
            <v>39218.730000000003</v>
          </cell>
          <cell r="BW306">
            <v>47906.34</v>
          </cell>
          <cell r="BX306">
            <v>0</v>
          </cell>
          <cell r="BY306">
            <v>13000</v>
          </cell>
          <cell r="BZ306">
            <v>25028.02</v>
          </cell>
          <cell r="CA306">
            <v>4549</v>
          </cell>
          <cell r="CB306">
            <v>16322.34</v>
          </cell>
          <cell r="CC306">
            <v>0</v>
          </cell>
          <cell r="CD306">
            <v>3410</v>
          </cell>
          <cell r="CE306">
            <v>658.5</v>
          </cell>
          <cell r="CF306">
            <v>153000</v>
          </cell>
          <cell r="CG306">
            <v>11100</v>
          </cell>
          <cell r="CH306">
            <v>-153000</v>
          </cell>
          <cell r="CI306">
            <v>10300</v>
          </cell>
          <cell r="CJ306">
            <v>0</v>
          </cell>
          <cell r="CK306">
            <v>0</v>
          </cell>
          <cell r="CL306">
            <v>0</v>
          </cell>
          <cell r="CM306">
            <v>20600</v>
          </cell>
          <cell r="CN306">
            <v>-20600</v>
          </cell>
          <cell r="CO306">
            <v>22500</v>
          </cell>
          <cell r="CP306">
            <v>0</v>
          </cell>
          <cell r="CQ306">
            <v>0</v>
          </cell>
          <cell r="CR306">
            <v>0</v>
          </cell>
          <cell r="CS306">
            <v>0</v>
          </cell>
          <cell r="CT306">
            <v>28675</v>
          </cell>
          <cell r="CU306">
            <v>0</v>
          </cell>
          <cell r="CV306">
            <v>0</v>
          </cell>
          <cell r="CW306">
            <v>0</v>
          </cell>
          <cell r="CX306">
            <v>0</v>
          </cell>
          <cell r="CY306">
            <v>0</v>
          </cell>
          <cell r="CZ306">
            <v>0</v>
          </cell>
          <cell r="DA306">
            <v>0</v>
          </cell>
          <cell r="DB306">
            <v>0</v>
          </cell>
          <cell r="DC306">
            <v>43550</v>
          </cell>
          <cell r="DD306">
            <v>0</v>
          </cell>
          <cell r="DE306">
            <v>0</v>
          </cell>
          <cell r="DF306">
            <v>0</v>
          </cell>
          <cell r="DG306">
            <v>0</v>
          </cell>
          <cell r="DH306">
            <v>43550</v>
          </cell>
        </row>
        <row r="307">
          <cell r="A307" t="str">
            <v>6790260</v>
          </cell>
          <cell r="B307" t="str">
            <v>6790260</v>
          </cell>
          <cell r="C307" t="str">
            <v>Settlement/Claim Exp</v>
          </cell>
          <cell r="D307">
            <v>130</v>
          </cell>
          <cell r="E307">
            <v>4574.88</v>
          </cell>
          <cell r="F307">
            <v>-2381923.23</v>
          </cell>
          <cell r="G307">
            <v>17163.490000000002</v>
          </cell>
          <cell r="H307">
            <v>7590.5</v>
          </cell>
          <cell r="I307">
            <v>8731.99</v>
          </cell>
          <cell r="J307">
            <v>2208.17</v>
          </cell>
          <cell r="K307">
            <v>4256.41</v>
          </cell>
          <cell r="L307">
            <v>-3741.31</v>
          </cell>
          <cell r="M307">
            <v>15465.71</v>
          </cell>
          <cell r="N307">
            <v>1822.79</v>
          </cell>
          <cell r="O307">
            <v>23353.81</v>
          </cell>
          <cell r="P307">
            <v>9219</v>
          </cell>
          <cell r="Q307">
            <v>15289.17</v>
          </cell>
          <cell r="R307">
            <v>29327.94</v>
          </cell>
          <cell r="S307">
            <v>3964.51</v>
          </cell>
          <cell r="T307">
            <v>7939.17</v>
          </cell>
          <cell r="U307">
            <v>19888.34</v>
          </cell>
          <cell r="V307">
            <v>16141.24</v>
          </cell>
          <cell r="W307">
            <v>7503.14</v>
          </cell>
          <cell r="X307">
            <v>30656.95</v>
          </cell>
          <cell r="Y307">
            <v>37016.050000000003</v>
          </cell>
          <cell r="Z307">
            <v>22454.97</v>
          </cell>
          <cell r="AA307">
            <v>512697.81</v>
          </cell>
          <cell r="AB307">
            <v>3209.97</v>
          </cell>
          <cell r="AC307">
            <v>15083.18</v>
          </cell>
          <cell r="AD307">
            <v>10193.9</v>
          </cell>
          <cell r="AE307">
            <v>11299.75</v>
          </cell>
          <cell r="AF307">
            <v>6813.87</v>
          </cell>
          <cell r="AG307">
            <v>17117.759999999998</v>
          </cell>
          <cell r="AH307">
            <v>5422.69</v>
          </cell>
          <cell r="AI307">
            <v>10518.5</v>
          </cell>
          <cell r="AJ307">
            <v>56575.57</v>
          </cell>
          <cell r="AK307">
            <v>135027.73000000001</v>
          </cell>
          <cell r="AL307">
            <v>33857.199999999997</v>
          </cell>
          <cell r="AM307">
            <v>24529.32</v>
          </cell>
          <cell r="AN307">
            <v>5559.74</v>
          </cell>
          <cell r="AO307">
            <v>20812.61</v>
          </cell>
          <cell r="AP307">
            <v>16065.63</v>
          </cell>
          <cell r="AQ307">
            <v>1421.87</v>
          </cell>
          <cell r="AR307">
            <v>31144.7</v>
          </cell>
          <cell r="AS307">
            <v>14777.55</v>
          </cell>
          <cell r="AT307">
            <v>12025.19</v>
          </cell>
          <cell r="AU307">
            <v>4548.22</v>
          </cell>
          <cell r="AV307">
            <v>95</v>
          </cell>
          <cell r="AW307">
            <v>20571.36</v>
          </cell>
          <cell r="AX307">
            <v>3497.21</v>
          </cell>
          <cell r="AY307">
            <v>87015.34</v>
          </cell>
          <cell r="AZ307">
            <v>5225.87</v>
          </cell>
          <cell r="BA307">
            <v>19910.75</v>
          </cell>
          <cell r="BB307">
            <v>16277.8</v>
          </cell>
          <cell r="BC307">
            <v>62405.2</v>
          </cell>
          <cell r="BD307">
            <v>71464.160000000003</v>
          </cell>
          <cell r="BE307">
            <v>7467.79</v>
          </cell>
          <cell r="BF307">
            <v>17331.349999999999</v>
          </cell>
          <cell r="BG307">
            <v>38339.53</v>
          </cell>
          <cell r="BH307">
            <v>92890.81</v>
          </cell>
          <cell r="BI307">
            <v>-2386.89</v>
          </cell>
          <cell r="BJ307">
            <v>24274.18</v>
          </cell>
          <cell r="BK307">
            <v>57897.2</v>
          </cell>
          <cell r="BL307">
            <v>125</v>
          </cell>
          <cell r="BM307">
            <v>23957.439999999999</v>
          </cell>
          <cell r="BN307">
            <v>17266.88</v>
          </cell>
          <cell r="BO307">
            <v>37290.269999999997</v>
          </cell>
          <cell r="BP307">
            <v>17905.71</v>
          </cell>
          <cell r="BQ307">
            <v>92656.79</v>
          </cell>
          <cell r="BR307">
            <v>22133.06</v>
          </cell>
          <cell r="BS307">
            <v>13986.86</v>
          </cell>
          <cell r="BT307">
            <v>40124.089999999997</v>
          </cell>
          <cell r="BU307">
            <v>55205.91</v>
          </cell>
          <cell r="BV307">
            <v>17540.57</v>
          </cell>
          <cell r="BW307">
            <v>31006.85</v>
          </cell>
          <cell r="BX307">
            <v>16483.310000000001</v>
          </cell>
          <cell r="BY307">
            <v>49381.59</v>
          </cell>
          <cell r="BZ307">
            <v>7071.39</v>
          </cell>
          <cell r="CA307">
            <v>10559.94</v>
          </cell>
          <cell r="CB307">
            <v>33044.199999999997</v>
          </cell>
          <cell r="CC307">
            <v>56188.5</v>
          </cell>
          <cell r="CD307">
            <v>19666.650000000001</v>
          </cell>
          <cell r="CE307">
            <v>3494.96</v>
          </cell>
          <cell r="CF307">
            <v>44677.1</v>
          </cell>
          <cell r="CG307">
            <v>62120.21</v>
          </cell>
          <cell r="CH307">
            <v>17508.14</v>
          </cell>
          <cell r="CI307">
            <v>11563.91</v>
          </cell>
          <cell r="CJ307">
            <v>54993.14</v>
          </cell>
          <cell r="CK307">
            <v>30741.5</v>
          </cell>
          <cell r="CL307">
            <v>27095.35</v>
          </cell>
          <cell r="CM307">
            <v>28619.38</v>
          </cell>
          <cell r="CN307">
            <v>387547.08</v>
          </cell>
          <cell r="CO307">
            <v>60845.81</v>
          </cell>
          <cell r="CP307">
            <v>28755.91</v>
          </cell>
          <cell r="CQ307">
            <v>96575.85</v>
          </cell>
          <cell r="CR307">
            <v>19722.66</v>
          </cell>
          <cell r="CS307">
            <v>30653.759999999998</v>
          </cell>
          <cell r="CT307">
            <v>75220.94</v>
          </cell>
          <cell r="CU307">
            <v>20485.38</v>
          </cell>
          <cell r="CV307">
            <v>17402.509999999998</v>
          </cell>
          <cell r="CW307">
            <v>48862.26</v>
          </cell>
          <cell r="CX307">
            <v>25956.99</v>
          </cell>
          <cell r="CY307">
            <v>55324.44</v>
          </cell>
          <cell r="CZ307">
            <v>33177.550000000003</v>
          </cell>
          <cell r="DA307">
            <v>37267.599999999999</v>
          </cell>
          <cell r="DB307">
            <v>43693.09</v>
          </cell>
          <cell r="DC307">
            <v>76323.91</v>
          </cell>
          <cell r="DD307">
            <v>1107.5</v>
          </cell>
          <cell r="DE307">
            <v>50274.96</v>
          </cell>
          <cell r="DF307">
            <v>30698</v>
          </cell>
          <cell r="DG307">
            <v>287851.06</v>
          </cell>
          <cell r="DH307">
            <v>707939.87</v>
          </cell>
        </row>
        <row r="308">
          <cell r="A308" t="str">
            <v>6790280</v>
          </cell>
          <cell r="B308" t="str">
            <v>6790280</v>
          </cell>
          <cell r="C308" t="str">
            <v>Stadium-Food</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89.14</v>
          </cell>
          <cell r="AX308">
            <v>2044.17</v>
          </cell>
          <cell r="AY308">
            <v>0</v>
          </cell>
          <cell r="AZ308">
            <v>0</v>
          </cell>
          <cell r="BA308">
            <v>0</v>
          </cell>
          <cell r="BB308">
            <v>0</v>
          </cell>
          <cell r="BC308">
            <v>458.23</v>
          </cell>
          <cell r="BD308">
            <v>650.45000000000005</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row>
        <row r="309">
          <cell r="A309" t="str">
            <v>6790281</v>
          </cell>
          <cell r="B309" t="str">
            <v>6790281</v>
          </cell>
          <cell r="C309" t="str">
            <v>Stadium-Other</v>
          </cell>
          <cell r="D309">
            <v>0</v>
          </cell>
          <cell r="E309">
            <v>8541.2999999999993</v>
          </cell>
          <cell r="F309">
            <v>18661</v>
          </cell>
          <cell r="G309">
            <v>0</v>
          </cell>
          <cell r="H309">
            <v>2415</v>
          </cell>
          <cell r="I309">
            <v>0</v>
          </cell>
          <cell r="J309">
            <v>0</v>
          </cell>
          <cell r="K309">
            <v>3050.12</v>
          </cell>
          <cell r="L309">
            <v>0</v>
          </cell>
          <cell r="M309">
            <v>0</v>
          </cell>
          <cell r="N309">
            <v>0</v>
          </cell>
          <cell r="O309">
            <v>0</v>
          </cell>
          <cell r="P309">
            <v>0</v>
          </cell>
          <cell r="Q309">
            <v>0</v>
          </cell>
          <cell r="R309">
            <v>0</v>
          </cell>
          <cell r="S309">
            <v>0</v>
          </cell>
          <cell r="T309">
            <v>0</v>
          </cell>
          <cell r="U309">
            <v>0</v>
          </cell>
          <cell r="V309">
            <v>0</v>
          </cell>
          <cell r="W309">
            <v>3328.88</v>
          </cell>
          <cell r="X309">
            <v>0</v>
          </cell>
          <cell r="Y309">
            <v>0</v>
          </cell>
          <cell r="Z309">
            <v>0</v>
          </cell>
          <cell r="AA309">
            <v>0</v>
          </cell>
          <cell r="AB309">
            <v>0</v>
          </cell>
          <cell r="AC309">
            <v>0</v>
          </cell>
          <cell r="AD309">
            <v>0</v>
          </cell>
          <cell r="AE309">
            <v>0</v>
          </cell>
          <cell r="AF309">
            <v>0</v>
          </cell>
          <cell r="AG309">
            <v>0</v>
          </cell>
          <cell r="AH309">
            <v>0</v>
          </cell>
          <cell r="AI309">
            <v>4428.75</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row>
        <row r="310">
          <cell r="A310" t="str">
            <v>6790300</v>
          </cell>
          <cell r="B310" t="str">
            <v>6790300</v>
          </cell>
          <cell r="C310" t="str">
            <v>Cash Discounts Taken</v>
          </cell>
          <cell r="D310">
            <v>-747.72</v>
          </cell>
          <cell r="E310">
            <v>-265.95999999999998</v>
          </cell>
          <cell r="F310">
            <v>-380.17</v>
          </cell>
          <cell r="G310">
            <v>-846.95</v>
          </cell>
          <cell r="H310">
            <v>-1283.01</v>
          </cell>
          <cell r="I310">
            <v>-591.19000000000005</v>
          </cell>
          <cell r="J310">
            <v>-1138.6400000000001</v>
          </cell>
          <cell r="K310">
            <v>-1212.3900000000001</v>
          </cell>
          <cell r="L310">
            <v>-541.38</v>
          </cell>
          <cell r="M310">
            <v>-431.8</v>
          </cell>
          <cell r="N310">
            <v>-623.79999999999995</v>
          </cell>
          <cell r="O310">
            <v>-477.64</v>
          </cell>
          <cell r="P310">
            <v>-555.28</v>
          </cell>
          <cell r="Q310">
            <v>-383.34</v>
          </cell>
          <cell r="R310">
            <v>-489.41</v>
          </cell>
          <cell r="S310">
            <v>-541.15</v>
          </cell>
          <cell r="T310">
            <v>-647.24</v>
          </cell>
          <cell r="U310">
            <v>-529.04999999999995</v>
          </cell>
          <cell r="V310">
            <v>-783.71</v>
          </cell>
          <cell r="W310">
            <v>-513.67999999999995</v>
          </cell>
          <cell r="X310">
            <v>-145.80000000000001</v>
          </cell>
          <cell r="Y310">
            <v>-270.38</v>
          </cell>
          <cell r="Z310">
            <v>-298.97000000000003</v>
          </cell>
          <cell r="AA310">
            <v>-87.76</v>
          </cell>
          <cell r="AB310">
            <v>-75.38</v>
          </cell>
          <cell r="AC310">
            <v>-49.15</v>
          </cell>
          <cell r="AD310">
            <v>-47.13</v>
          </cell>
          <cell r="AE310">
            <v>-22.91</v>
          </cell>
          <cell r="AF310">
            <v>-93.15</v>
          </cell>
          <cell r="AG310">
            <v>-82.03</v>
          </cell>
          <cell r="AH310">
            <v>-17.86</v>
          </cell>
          <cell r="AI310">
            <v>-34.85</v>
          </cell>
          <cell r="AJ310">
            <v>-13.74</v>
          </cell>
          <cell r="AK310">
            <v>-4.8600000000000003</v>
          </cell>
          <cell r="AL310">
            <v>-54.04</v>
          </cell>
          <cell r="AM310">
            <v>-17.23</v>
          </cell>
          <cell r="AN310">
            <v>-17.2</v>
          </cell>
          <cell r="AO310">
            <v>-30.28</v>
          </cell>
          <cell r="AP310">
            <v>-105.43</v>
          </cell>
          <cell r="AQ310">
            <v>-189.58</v>
          </cell>
          <cell r="AR310">
            <v>0</v>
          </cell>
          <cell r="AS310">
            <v>-4035.22</v>
          </cell>
          <cell r="AT310">
            <v>-36.33</v>
          </cell>
          <cell r="AU310">
            <v>-33.72</v>
          </cell>
          <cell r="AV310">
            <v>-16.600000000000001</v>
          </cell>
          <cell r="AW310">
            <v>-11.5</v>
          </cell>
          <cell r="AX310">
            <v>-62.66</v>
          </cell>
          <cell r="AY310">
            <v>-8.14</v>
          </cell>
          <cell r="AZ310">
            <v>-86.46</v>
          </cell>
          <cell r="BA310">
            <v>-0.84</v>
          </cell>
          <cell r="BB310">
            <v>-13.6</v>
          </cell>
          <cell r="BC310">
            <v>0</v>
          </cell>
          <cell r="BD310">
            <v>-23.42</v>
          </cell>
          <cell r="BE310">
            <v>-6.6</v>
          </cell>
          <cell r="BF310">
            <v>0</v>
          </cell>
          <cell r="BG310">
            <v>-32.880000000000003</v>
          </cell>
          <cell r="BH310">
            <v>-175.01</v>
          </cell>
          <cell r="BI310">
            <v>-4.91</v>
          </cell>
          <cell r="BJ310">
            <v>-32.869999999999997</v>
          </cell>
          <cell r="BK310">
            <v>-3.91</v>
          </cell>
          <cell r="BL310">
            <v>-48.02</v>
          </cell>
          <cell r="BM310">
            <v>-9.4700000000000006</v>
          </cell>
          <cell r="BN310">
            <v>-28.77</v>
          </cell>
          <cell r="BO310">
            <v>-24.35</v>
          </cell>
          <cell r="BP310">
            <v>-9.86</v>
          </cell>
          <cell r="BQ310">
            <v>-28.2</v>
          </cell>
          <cell r="BR310">
            <v>-2.4500000000000002</v>
          </cell>
          <cell r="BS310">
            <v>-9.66</v>
          </cell>
          <cell r="BT310">
            <v>-29.07</v>
          </cell>
          <cell r="BU310">
            <v>-18.91</v>
          </cell>
          <cell r="BV310">
            <v>-9.9</v>
          </cell>
          <cell r="BW310">
            <v>0</v>
          </cell>
          <cell r="BX310">
            <v>-1.99</v>
          </cell>
          <cell r="BY310">
            <v>-9.36</v>
          </cell>
          <cell r="BZ310">
            <v>0</v>
          </cell>
          <cell r="CA310">
            <v>0</v>
          </cell>
          <cell r="CB310">
            <v>-42.3</v>
          </cell>
          <cell r="CC310">
            <v>-15.35</v>
          </cell>
          <cell r="CD310">
            <v>0</v>
          </cell>
          <cell r="CE310">
            <v>0</v>
          </cell>
          <cell r="CF310">
            <v>-6.36</v>
          </cell>
          <cell r="CG310">
            <v>0</v>
          </cell>
          <cell r="CH310">
            <v>0</v>
          </cell>
          <cell r="CI310">
            <v>0</v>
          </cell>
          <cell r="CJ310">
            <v>0</v>
          </cell>
          <cell r="CK310">
            <v>-362.42</v>
          </cell>
          <cell r="CL310">
            <v>0</v>
          </cell>
          <cell r="CM310">
            <v>-8.4499999999999993</v>
          </cell>
          <cell r="CN310">
            <v>-1.28</v>
          </cell>
          <cell r="CO310">
            <v>0</v>
          </cell>
          <cell r="CP310">
            <v>-1.62</v>
          </cell>
          <cell r="CQ310">
            <v>0</v>
          </cell>
          <cell r="CR310">
            <v>-31.01</v>
          </cell>
          <cell r="CS310">
            <v>-3.05</v>
          </cell>
          <cell r="CT310">
            <v>-12.91</v>
          </cell>
          <cell r="CU310">
            <v>-1.88</v>
          </cell>
          <cell r="CV310">
            <v>-0.7</v>
          </cell>
          <cell r="CW310">
            <v>-5.61</v>
          </cell>
          <cell r="CX310">
            <v>-49.57</v>
          </cell>
          <cell r="CY310">
            <v>-42.05</v>
          </cell>
          <cell r="CZ310">
            <v>-26.04</v>
          </cell>
          <cell r="DA310">
            <v>-78.81</v>
          </cell>
          <cell r="DB310">
            <v>-67.13</v>
          </cell>
          <cell r="DC310">
            <v>-49.34</v>
          </cell>
          <cell r="DD310">
            <v>-109.44</v>
          </cell>
          <cell r="DE310">
            <v>-1.66</v>
          </cell>
          <cell r="DF310">
            <v>-88.89</v>
          </cell>
          <cell r="DG310">
            <v>-15.49</v>
          </cell>
          <cell r="DH310">
            <v>-534.73</v>
          </cell>
        </row>
        <row r="311">
          <cell r="A311" t="str">
            <v>6790305</v>
          </cell>
          <cell r="B311" t="str">
            <v>6790305</v>
          </cell>
          <cell r="C311" t="str">
            <v>A&amp;G Allocation</v>
          </cell>
          <cell r="D311">
            <v>333333</v>
          </cell>
          <cell r="E311">
            <v>333333</v>
          </cell>
          <cell r="F311">
            <v>333333</v>
          </cell>
          <cell r="G311">
            <v>333333</v>
          </cell>
          <cell r="H311">
            <v>333333</v>
          </cell>
          <cell r="I311">
            <v>333333</v>
          </cell>
          <cell r="J311">
            <v>333333</v>
          </cell>
          <cell r="K311">
            <v>333333</v>
          </cell>
          <cell r="L311">
            <v>333333</v>
          </cell>
          <cell r="M311">
            <v>333333</v>
          </cell>
          <cell r="N311">
            <v>333333</v>
          </cell>
          <cell r="O311">
            <v>333333</v>
          </cell>
          <cell r="P311">
            <v>333333</v>
          </cell>
          <cell r="Q311">
            <v>333333</v>
          </cell>
          <cell r="R311">
            <v>333333</v>
          </cell>
          <cell r="S311">
            <v>333333</v>
          </cell>
          <cell r="T311">
            <v>333333</v>
          </cell>
          <cell r="U311">
            <v>333333</v>
          </cell>
          <cell r="V311">
            <v>333333</v>
          </cell>
          <cell r="W311">
            <v>333333</v>
          </cell>
          <cell r="X311">
            <v>333333</v>
          </cell>
          <cell r="Y311">
            <v>333333</v>
          </cell>
          <cell r="Z311">
            <v>333333</v>
          </cell>
          <cell r="AA311">
            <v>333333</v>
          </cell>
          <cell r="AB311">
            <v>333333</v>
          </cell>
          <cell r="AC311">
            <v>333333</v>
          </cell>
          <cell r="AD311">
            <v>333333</v>
          </cell>
          <cell r="AE311">
            <v>381312.36</v>
          </cell>
          <cell r="AF311">
            <v>285353.64</v>
          </cell>
          <cell r="AG311">
            <v>333333</v>
          </cell>
          <cell r="AH311">
            <v>333333</v>
          </cell>
          <cell r="AI311">
            <v>333342.65999999997</v>
          </cell>
          <cell r="AJ311">
            <v>333333</v>
          </cell>
          <cell r="AK311">
            <v>333333</v>
          </cell>
          <cell r="AL311">
            <v>333333</v>
          </cell>
          <cell r="AM311">
            <v>333333</v>
          </cell>
          <cell r="AN311">
            <v>333333</v>
          </cell>
          <cell r="AO311">
            <v>333333</v>
          </cell>
          <cell r="AP311">
            <v>333333</v>
          </cell>
          <cell r="AQ311">
            <v>333333</v>
          </cell>
          <cell r="AR311">
            <v>333333</v>
          </cell>
          <cell r="AS311">
            <v>333333</v>
          </cell>
          <cell r="AT311">
            <v>500000</v>
          </cell>
          <cell r="AU311">
            <v>500401.2</v>
          </cell>
          <cell r="AV311">
            <v>500000</v>
          </cell>
          <cell r="AW311">
            <v>500000</v>
          </cell>
          <cell r="AX311">
            <v>500000</v>
          </cell>
          <cell r="AY311">
            <v>500000</v>
          </cell>
          <cell r="AZ311">
            <v>500000</v>
          </cell>
          <cell r="BA311">
            <v>500000</v>
          </cell>
          <cell r="BB311">
            <v>500000</v>
          </cell>
          <cell r="BC311">
            <v>500000</v>
          </cell>
          <cell r="BD311">
            <v>500000</v>
          </cell>
          <cell r="BE311">
            <v>500000</v>
          </cell>
          <cell r="BF311">
            <v>500000</v>
          </cell>
          <cell r="BG311">
            <v>500000</v>
          </cell>
          <cell r="BH311">
            <v>500000</v>
          </cell>
          <cell r="BI311">
            <v>500000</v>
          </cell>
          <cell r="BJ311">
            <v>500000</v>
          </cell>
          <cell r="BK311">
            <v>500000</v>
          </cell>
          <cell r="BL311">
            <v>500000</v>
          </cell>
          <cell r="BM311">
            <v>500000</v>
          </cell>
          <cell r="BN311">
            <v>1000000</v>
          </cell>
          <cell r="BO311">
            <v>666666.67000000004</v>
          </cell>
          <cell r="BP311">
            <v>666666.67000000004</v>
          </cell>
          <cell r="BQ311">
            <v>666666.67000000004</v>
          </cell>
          <cell r="BR311">
            <v>666666.67000000004</v>
          </cell>
          <cell r="BS311">
            <v>666666.67000000004</v>
          </cell>
          <cell r="BT311">
            <v>666666.67000000004</v>
          </cell>
          <cell r="BU311">
            <v>666666.67000000004</v>
          </cell>
          <cell r="BV311">
            <v>666666.67000000004</v>
          </cell>
          <cell r="BW311">
            <v>666666.67000000004</v>
          </cell>
          <cell r="BX311">
            <v>666666.67000000004</v>
          </cell>
          <cell r="BY311">
            <v>666666.67000000004</v>
          </cell>
          <cell r="BZ311">
            <v>666666.67000000004</v>
          </cell>
          <cell r="CA311">
            <v>666666.67000000004</v>
          </cell>
          <cell r="CB311">
            <v>666666.67000000004</v>
          </cell>
          <cell r="CC311">
            <v>666666.67000000004</v>
          </cell>
          <cell r="CD311">
            <v>666666.67000000004</v>
          </cell>
          <cell r="CE311">
            <v>666666.67000000004</v>
          </cell>
          <cell r="CF311">
            <v>680419.7</v>
          </cell>
          <cell r="CG311">
            <v>666880.01</v>
          </cell>
          <cell r="CH311">
            <v>666666.67000000004</v>
          </cell>
          <cell r="CI311">
            <v>666666.63</v>
          </cell>
          <cell r="CJ311">
            <v>630430.63</v>
          </cell>
          <cell r="CK311">
            <v>666666.63</v>
          </cell>
          <cell r="CL311">
            <v>666666.63</v>
          </cell>
          <cell r="CM311">
            <v>666666.67000000004</v>
          </cell>
          <cell r="CN311">
            <v>666666.67000000004</v>
          </cell>
          <cell r="CO311">
            <v>666666.67000000004</v>
          </cell>
          <cell r="CP311">
            <v>666666.67000000004</v>
          </cell>
          <cell r="CQ311">
            <v>666666.67000000004</v>
          </cell>
          <cell r="CR311">
            <v>839854.36</v>
          </cell>
          <cell r="CS311">
            <v>684827.82</v>
          </cell>
          <cell r="CT311">
            <v>1602371.46</v>
          </cell>
          <cell r="CU311">
            <v>771269.92</v>
          </cell>
          <cell r="CV311">
            <v>860468.56</v>
          </cell>
          <cell r="CW311">
            <v>838414.83</v>
          </cell>
          <cell r="CX311">
            <v>835737.27</v>
          </cell>
          <cell r="CY311">
            <v>833883.08</v>
          </cell>
          <cell r="CZ311">
            <v>833932.98</v>
          </cell>
          <cell r="DA311">
            <v>835478.6</v>
          </cell>
          <cell r="DB311">
            <v>833696.98</v>
          </cell>
          <cell r="DC311">
            <v>834842.53</v>
          </cell>
          <cell r="DD311">
            <v>833902.92</v>
          </cell>
          <cell r="DE311">
            <v>834067.11</v>
          </cell>
          <cell r="DF311">
            <v>833333.33</v>
          </cell>
          <cell r="DG311">
            <v>1833333.36</v>
          </cell>
          <cell r="DH311">
            <v>11041091.550000001</v>
          </cell>
        </row>
        <row r="312">
          <cell r="A312" t="str">
            <v>6790310</v>
          </cell>
          <cell r="B312" t="str">
            <v>6790310</v>
          </cell>
          <cell r="C312" t="str">
            <v>A&amp;G Alloc to Capital</v>
          </cell>
          <cell r="D312">
            <v>-283333</v>
          </cell>
          <cell r="E312">
            <v>-283333</v>
          </cell>
          <cell r="F312">
            <v>-283333</v>
          </cell>
          <cell r="G312">
            <v>-283333</v>
          </cell>
          <cell r="H312">
            <v>-283333</v>
          </cell>
          <cell r="I312">
            <v>-283333</v>
          </cell>
          <cell r="J312">
            <v>-283333</v>
          </cell>
          <cell r="K312">
            <v>-283333</v>
          </cell>
          <cell r="L312">
            <v>-283333</v>
          </cell>
          <cell r="M312">
            <v>-283333</v>
          </cell>
          <cell r="N312">
            <v>-283333</v>
          </cell>
          <cell r="O312">
            <v>-283333</v>
          </cell>
          <cell r="P312">
            <v>-283333</v>
          </cell>
          <cell r="Q312">
            <v>-283333</v>
          </cell>
          <cell r="R312">
            <v>-283333</v>
          </cell>
          <cell r="S312">
            <v>-283333</v>
          </cell>
          <cell r="T312">
            <v>-283333</v>
          </cell>
          <cell r="U312">
            <v>-283333</v>
          </cell>
          <cell r="V312">
            <v>-283333</v>
          </cell>
          <cell r="W312">
            <v>-283333</v>
          </cell>
          <cell r="X312">
            <v>-283333</v>
          </cell>
          <cell r="Y312">
            <v>-283333</v>
          </cell>
          <cell r="Z312">
            <v>-283333</v>
          </cell>
          <cell r="AA312">
            <v>-283333</v>
          </cell>
          <cell r="AB312">
            <v>-283333</v>
          </cell>
          <cell r="AC312">
            <v>-283333</v>
          </cell>
          <cell r="AD312">
            <v>-283333</v>
          </cell>
          <cell r="AE312">
            <v>-283333</v>
          </cell>
          <cell r="AF312">
            <v>-283333</v>
          </cell>
          <cell r="AG312">
            <v>-283333</v>
          </cell>
          <cell r="AH312">
            <v>-283333</v>
          </cell>
          <cell r="AI312">
            <v>-283333</v>
          </cell>
          <cell r="AJ312">
            <v>-283333</v>
          </cell>
          <cell r="AK312">
            <v>-283333</v>
          </cell>
          <cell r="AL312">
            <v>-283333</v>
          </cell>
          <cell r="AM312">
            <v>-283333</v>
          </cell>
          <cell r="AN312">
            <v>-283333</v>
          </cell>
          <cell r="AO312">
            <v>-283333</v>
          </cell>
          <cell r="AP312">
            <v>-283333</v>
          </cell>
          <cell r="AQ312">
            <v>-283333</v>
          </cell>
          <cell r="AR312">
            <v>-283333</v>
          </cell>
          <cell r="AS312">
            <v>-283333</v>
          </cell>
          <cell r="AT312">
            <v>-500000</v>
          </cell>
          <cell r="AU312">
            <v>-500000</v>
          </cell>
          <cell r="AV312">
            <v>-500000</v>
          </cell>
          <cell r="AW312">
            <v>-500000</v>
          </cell>
          <cell r="AX312">
            <v>-500000</v>
          </cell>
          <cell r="AY312">
            <v>-500000</v>
          </cell>
          <cell r="AZ312">
            <v>-500000</v>
          </cell>
          <cell r="BA312">
            <v>-500000</v>
          </cell>
          <cell r="BB312">
            <v>-500000</v>
          </cell>
          <cell r="BC312">
            <v>-500000</v>
          </cell>
          <cell r="BD312">
            <v>-500000</v>
          </cell>
          <cell r="BE312">
            <v>-500000</v>
          </cell>
          <cell r="BF312">
            <v>-500000</v>
          </cell>
          <cell r="BG312">
            <v>-500000</v>
          </cell>
          <cell r="BH312">
            <v>-500000</v>
          </cell>
          <cell r="BI312">
            <v>-500000</v>
          </cell>
          <cell r="BJ312">
            <v>-500000</v>
          </cell>
          <cell r="BK312">
            <v>-500000</v>
          </cell>
          <cell r="BL312">
            <v>-500000</v>
          </cell>
          <cell r="BM312">
            <v>-500000</v>
          </cell>
          <cell r="BN312">
            <v>-1000000</v>
          </cell>
          <cell r="BO312">
            <v>-666666.67000000004</v>
          </cell>
          <cell r="BP312">
            <v>-666666.67000000004</v>
          </cell>
          <cell r="BQ312">
            <v>-666666.67000000004</v>
          </cell>
          <cell r="BR312">
            <v>-666666.67000000004</v>
          </cell>
          <cell r="BS312">
            <v>-666666.67000000004</v>
          </cell>
          <cell r="BT312">
            <v>-666666.67000000004</v>
          </cell>
          <cell r="BU312">
            <v>-666666.67000000004</v>
          </cell>
          <cell r="BV312">
            <v>-666666.67000000004</v>
          </cell>
          <cell r="BW312">
            <v>-666666.67000000004</v>
          </cell>
          <cell r="BX312">
            <v>-666666.67000000004</v>
          </cell>
          <cell r="BY312">
            <v>-666666.67000000004</v>
          </cell>
          <cell r="BZ312">
            <v>-666666.67000000004</v>
          </cell>
          <cell r="CA312">
            <v>-666666.67000000004</v>
          </cell>
          <cell r="CB312">
            <v>-666666.67000000004</v>
          </cell>
          <cell r="CC312">
            <v>-666666.67000000004</v>
          </cell>
          <cell r="CD312">
            <v>-666666.67000000004</v>
          </cell>
          <cell r="CE312">
            <v>-666666.67000000004</v>
          </cell>
          <cell r="CF312">
            <v>-666666.67000000004</v>
          </cell>
          <cell r="CG312">
            <v>-666666.67000000004</v>
          </cell>
          <cell r="CH312">
            <v>-666666.67000000004</v>
          </cell>
          <cell r="CI312">
            <v>-666666.63</v>
          </cell>
          <cell r="CJ312">
            <v>-666666.63</v>
          </cell>
          <cell r="CK312">
            <v>-666666.63</v>
          </cell>
          <cell r="CL312">
            <v>-666666.63</v>
          </cell>
          <cell r="CM312">
            <v>-666666.67000000004</v>
          </cell>
          <cell r="CN312">
            <v>-666666.67000000004</v>
          </cell>
          <cell r="CO312">
            <v>-666666.67000000004</v>
          </cell>
          <cell r="CP312">
            <v>-666666.67000000004</v>
          </cell>
          <cell r="CQ312">
            <v>-666666.67000000004</v>
          </cell>
          <cell r="CR312">
            <v>-666666.67000000004</v>
          </cell>
          <cell r="CS312">
            <v>-666666.67000000004</v>
          </cell>
          <cell r="CT312">
            <v>-1583333.37</v>
          </cell>
          <cell r="CU312">
            <v>-750000</v>
          </cell>
          <cell r="CV312">
            <v>-833333.37</v>
          </cell>
          <cell r="CW312">
            <v>-833333.37</v>
          </cell>
          <cell r="CX312">
            <v>-833333.3</v>
          </cell>
          <cell r="CY312">
            <v>-833333.3</v>
          </cell>
          <cell r="CZ312">
            <v>-833333.33</v>
          </cell>
          <cell r="DA312">
            <v>-833333.33</v>
          </cell>
          <cell r="DB312">
            <v>-833333.33</v>
          </cell>
          <cell r="DC312">
            <v>-833333.33</v>
          </cell>
          <cell r="DD312">
            <v>-833333.33</v>
          </cell>
          <cell r="DE312">
            <v>-833333.33</v>
          </cell>
          <cell r="DF312">
            <v>-833333.33</v>
          </cell>
          <cell r="DG312">
            <v>-1833333.36</v>
          </cell>
          <cell r="DH312">
            <v>-11000000.01</v>
          </cell>
        </row>
        <row r="313">
          <cell r="A313" t="str">
            <v>6790315</v>
          </cell>
          <cell r="B313" t="str">
            <v>6790315</v>
          </cell>
          <cell r="C313" t="str">
            <v>I&amp;D Alloc to Capital</v>
          </cell>
          <cell r="D313">
            <v>-50000</v>
          </cell>
          <cell r="E313">
            <v>-50000</v>
          </cell>
          <cell r="F313">
            <v>-50000</v>
          </cell>
          <cell r="G313">
            <v>-50000</v>
          </cell>
          <cell r="H313">
            <v>-50000</v>
          </cell>
          <cell r="I313">
            <v>-50000</v>
          </cell>
          <cell r="J313">
            <v>-50000</v>
          </cell>
          <cell r="K313">
            <v>-50000</v>
          </cell>
          <cell r="L313">
            <v>-50000</v>
          </cell>
          <cell r="M313">
            <v>-50000</v>
          </cell>
          <cell r="N313">
            <v>-50000</v>
          </cell>
          <cell r="O313">
            <v>-50000</v>
          </cell>
          <cell r="P313">
            <v>-50000</v>
          </cell>
          <cell r="Q313">
            <v>-50000</v>
          </cell>
          <cell r="R313">
            <v>-50000</v>
          </cell>
          <cell r="S313">
            <v>-50000</v>
          </cell>
          <cell r="T313">
            <v>-50000</v>
          </cell>
          <cell r="U313">
            <v>-50000</v>
          </cell>
          <cell r="V313">
            <v>-50000</v>
          </cell>
          <cell r="W313">
            <v>-50000</v>
          </cell>
          <cell r="X313">
            <v>-50000</v>
          </cell>
          <cell r="Y313">
            <v>-50000</v>
          </cell>
          <cell r="Z313">
            <v>-50000</v>
          </cell>
          <cell r="AA313">
            <v>-50000</v>
          </cell>
          <cell r="AB313">
            <v>-50000</v>
          </cell>
          <cell r="AC313">
            <v>-50000</v>
          </cell>
          <cell r="AD313">
            <v>-50000</v>
          </cell>
          <cell r="AE313">
            <v>-50000</v>
          </cell>
          <cell r="AF313">
            <v>-50000</v>
          </cell>
          <cell r="AG313">
            <v>-50000</v>
          </cell>
          <cell r="AH313">
            <v>-50000</v>
          </cell>
          <cell r="AI313">
            <v>-50000</v>
          </cell>
          <cell r="AJ313">
            <v>-50000</v>
          </cell>
          <cell r="AK313">
            <v>-50000</v>
          </cell>
          <cell r="AL313">
            <v>-50000</v>
          </cell>
          <cell r="AM313">
            <v>-50000</v>
          </cell>
          <cell r="AN313">
            <v>-50000</v>
          </cell>
          <cell r="AO313">
            <v>-50000</v>
          </cell>
          <cell r="AP313">
            <v>-50000</v>
          </cell>
          <cell r="AQ313">
            <v>-50000</v>
          </cell>
          <cell r="AR313">
            <v>-50000</v>
          </cell>
          <cell r="AS313">
            <v>-50000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row>
        <row r="314">
          <cell r="A314" t="str">
            <v>6790320</v>
          </cell>
          <cell r="B314" t="str">
            <v>6790320</v>
          </cell>
          <cell r="C314" t="str">
            <v>Fleet Allocation</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3188.55</v>
          </cell>
          <cell r="BK314">
            <v>-3188.55</v>
          </cell>
          <cell r="BL314">
            <v>0</v>
          </cell>
          <cell r="BM314">
            <v>0</v>
          </cell>
          <cell r="BN314">
            <v>-487.74</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row>
        <row r="315">
          <cell r="A315" t="str">
            <v>6790321</v>
          </cell>
          <cell r="B315" t="str">
            <v>6790321</v>
          </cell>
          <cell r="C315" t="str">
            <v>Stores Allocation</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row>
        <row r="316">
          <cell r="A316" t="str">
            <v>6790324</v>
          </cell>
          <cell r="B316" t="str">
            <v>6790324</v>
          </cell>
          <cell r="C316" t="str">
            <v>E&amp;S Allocation</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96.28</v>
          </cell>
          <cell r="CG316">
            <v>2</v>
          </cell>
          <cell r="CH316">
            <v>0</v>
          </cell>
          <cell r="CI316">
            <v>0</v>
          </cell>
          <cell r="CJ316">
            <v>0</v>
          </cell>
          <cell r="CK316">
            <v>0</v>
          </cell>
          <cell r="CL316">
            <v>0</v>
          </cell>
          <cell r="CM316">
            <v>0</v>
          </cell>
          <cell r="CN316">
            <v>0</v>
          </cell>
          <cell r="CO316">
            <v>0</v>
          </cell>
          <cell r="CP316">
            <v>0</v>
          </cell>
          <cell r="CQ316">
            <v>0</v>
          </cell>
          <cell r="CR316">
            <v>1594.45</v>
          </cell>
          <cell r="CS316">
            <v>162.91</v>
          </cell>
          <cell r="CT316">
            <v>202.02</v>
          </cell>
          <cell r="CU316">
            <v>245.83</v>
          </cell>
          <cell r="CV316">
            <v>322.39999999999998</v>
          </cell>
          <cell r="CW316">
            <v>63.39</v>
          </cell>
          <cell r="CX316">
            <v>26.45</v>
          </cell>
          <cell r="CY316">
            <v>7.7</v>
          </cell>
          <cell r="CZ316">
            <v>8.02</v>
          </cell>
          <cell r="DA316">
            <v>26.06</v>
          </cell>
          <cell r="DB316">
            <v>4.88</v>
          </cell>
          <cell r="DC316">
            <v>16.2</v>
          </cell>
          <cell r="DD316">
            <v>6.69</v>
          </cell>
          <cell r="DE316">
            <v>0</v>
          </cell>
          <cell r="DF316">
            <v>0</v>
          </cell>
          <cell r="DG316">
            <v>0</v>
          </cell>
          <cell r="DH316">
            <v>481.78999999999991</v>
          </cell>
        </row>
        <row r="317">
          <cell r="A317" t="str">
            <v>6790700</v>
          </cell>
          <cell r="B317" t="str">
            <v>6790700</v>
          </cell>
          <cell r="C317" t="str">
            <v>Intercompany Charges</v>
          </cell>
          <cell r="D317">
            <v>45570.879999999997</v>
          </cell>
          <cell r="E317">
            <v>29205.11</v>
          </cell>
          <cell r="F317">
            <v>51595.42</v>
          </cell>
          <cell r="G317">
            <v>16420.43</v>
          </cell>
          <cell r="H317">
            <v>100339.08</v>
          </cell>
          <cell r="I317">
            <v>262931.67</v>
          </cell>
          <cell r="J317">
            <v>121219.41</v>
          </cell>
          <cell r="K317">
            <v>128825.24</v>
          </cell>
          <cell r="L317">
            <v>11134.4</v>
          </cell>
          <cell r="M317">
            <v>-195994.03</v>
          </cell>
          <cell r="N317">
            <v>45785.63</v>
          </cell>
          <cell r="O317">
            <v>-462677.38</v>
          </cell>
          <cell r="P317">
            <v>67756.289999999994</v>
          </cell>
          <cell r="Q317">
            <v>70271.75</v>
          </cell>
          <cell r="R317">
            <v>15574.25</v>
          </cell>
          <cell r="S317">
            <v>50140.04</v>
          </cell>
          <cell r="T317">
            <v>24947.35</v>
          </cell>
          <cell r="U317">
            <v>78089.22</v>
          </cell>
          <cell r="V317">
            <v>45827.31</v>
          </cell>
          <cell r="W317">
            <v>51103.25</v>
          </cell>
          <cell r="X317">
            <v>47596.55</v>
          </cell>
          <cell r="Y317">
            <v>16520.240000000002</v>
          </cell>
          <cell r="Z317">
            <v>45601.18</v>
          </cell>
          <cell r="AA317">
            <v>85393.41</v>
          </cell>
          <cell r="AB317">
            <v>211053.51</v>
          </cell>
          <cell r="AC317">
            <v>52439.94</v>
          </cell>
          <cell r="AD317">
            <v>73337.13</v>
          </cell>
          <cell r="AE317">
            <v>86312.09</v>
          </cell>
          <cell r="AF317">
            <v>38971.75</v>
          </cell>
          <cell r="AG317">
            <v>81442.09</v>
          </cell>
          <cell r="AH317">
            <v>46605.89</v>
          </cell>
          <cell r="AI317">
            <v>44394.6</v>
          </cell>
          <cell r="AJ317">
            <v>250463.67</v>
          </cell>
          <cell r="AK317">
            <v>50325.67</v>
          </cell>
          <cell r="AL317">
            <v>39847.440000000002</v>
          </cell>
          <cell r="AM317">
            <v>293171.24</v>
          </cell>
          <cell r="AN317">
            <v>33604.68</v>
          </cell>
          <cell r="AO317">
            <v>42753.279999999999</v>
          </cell>
          <cell r="AP317">
            <v>97396.96</v>
          </cell>
          <cell r="AQ317">
            <v>79770.89</v>
          </cell>
          <cell r="AR317">
            <v>53800.01</v>
          </cell>
          <cell r="AS317">
            <v>73992.86</v>
          </cell>
          <cell r="AT317">
            <v>61935.89</v>
          </cell>
          <cell r="AU317">
            <v>49129.95</v>
          </cell>
          <cell r="AV317">
            <v>84339.92</v>
          </cell>
          <cell r="AW317">
            <v>42954.13</v>
          </cell>
          <cell r="AX317">
            <v>44008.82</v>
          </cell>
          <cell r="AY317">
            <v>85942.6</v>
          </cell>
          <cell r="AZ317">
            <v>57438.84</v>
          </cell>
          <cell r="BA317">
            <v>118081.98</v>
          </cell>
          <cell r="BB317">
            <v>107666.53</v>
          </cell>
          <cell r="BC317">
            <v>60877.54</v>
          </cell>
          <cell r="BD317">
            <v>49059.6</v>
          </cell>
          <cell r="BE317">
            <v>59675.99</v>
          </cell>
          <cell r="BF317">
            <v>28497.34</v>
          </cell>
          <cell r="BG317">
            <v>45953.14</v>
          </cell>
          <cell r="BH317">
            <v>47222.63</v>
          </cell>
          <cell r="BI317">
            <v>75473.22</v>
          </cell>
          <cell r="BJ317">
            <v>48965.93</v>
          </cell>
          <cell r="BK317">
            <v>65135.18</v>
          </cell>
          <cell r="BL317">
            <v>8252.4</v>
          </cell>
          <cell r="BM317">
            <v>47195.91</v>
          </cell>
          <cell r="BN317">
            <v>65130.42</v>
          </cell>
          <cell r="BO317">
            <v>48110.5</v>
          </cell>
          <cell r="BP317">
            <v>39356.1</v>
          </cell>
          <cell r="BQ317">
            <v>43787.57</v>
          </cell>
          <cell r="BR317">
            <v>38986.92</v>
          </cell>
          <cell r="BS317">
            <v>119572.41</v>
          </cell>
          <cell r="BT317">
            <v>162653.17000000001</v>
          </cell>
          <cell r="BU317">
            <v>50891.09</v>
          </cell>
          <cell r="BV317">
            <v>7851.7</v>
          </cell>
          <cell r="BW317">
            <v>107913.54</v>
          </cell>
          <cell r="BX317">
            <v>-19752.13</v>
          </cell>
          <cell r="BY317">
            <v>-151.51</v>
          </cell>
          <cell r="BZ317">
            <v>-16089.69</v>
          </cell>
          <cell r="CA317">
            <v>-13038.22</v>
          </cell>
          <cell r="CB317">
            <v>-19551.5</v>
          </cell>
          <cell r="CC317">
            <v>-19648.98</v>
          </cell>
          <cell r="CD317">
            <v>-16175.28</v>
          </cell>
          <cell r="CE317">
            <v>-4655.26</v>
          </cell>
          <cell r="CF317">
            <v>-12572.37</v>
          </cell>
          <cell r="CG317">
            <v>-11070.97</v>
          </cell>
          <cell r="CH317">
            <v>-6970.09</v>
          </cell>
          <cell r="CI317">
            <v>-9294.2900000000009</v>
          </cell>
          <cell r="CJ317">
            <v>-42105.02</v>
          </cell>
          <cell r="CK317">
            <v>-6860.25</v>
          </cell>
          <cell r="CL317">
            <v>-17775.330000000002</v>
          </cell>
          <cell r="CM317">
            <v>-13928.46</v>
          </cell>
          <cell r="CN317">
            <v>15978.08</v>
          </cell>
          <cell r="CO317">
            <v>-282401.55</v>
          </cell>
          <cell r="CP317">
            <v>-59314.5</v>
          </cell>
          <cell r="CQ317">
            <v>-53723.24</v>
          </cell>
          <cell r="CR317">
            <v>-51702.29</v>
          </cell>
          <cell r="CS317">
            <v>-59832.14</v>
          </cell>
          <cell r="CT317">
            <v>-52627.8</v>
          </cell>
          <cell r="CU317">
            <v>-46887.61</v>
          </cell>
          <cell r="CV317">
            <v>-43415.07</v>
          </cell>
          <cell r="CW317">
            <v>-55363.71</v>
          </cell>
          <cell r="CX317">
            <v>-57199.07</v>
          </cell>
          <cell r="CY317">
            <v>-52651.32</v>
          </cell>
          <cell r="CZ317">
            <v>-66308.240000000005</v>
          </cell>
          <cell r="DA317">
            <v>-53355.72</v>
          </cell>
          <cell r="DB317">
            <v>-38550.94</v>
          </cell>
          <cell r="DC317">
            <v>-10054.66</v>
          </cell>
          <cell r="DD317">
            <v>-57265.99</v>
          </cell>
          <cell r="DE317">
            <v>-61474.37</v>
          </cell>
          <cell r="DF317">
            <v>-657317.65</v>
          </cell>
          <cell r="DG317">
            <v>-87938.37</v>
          </cell>
          <cell r="DH317">
            <v>-1240895.1099999999</v>
          </cell>
        </row>
        <row r="318">
          <cell r="A318" t="str">
            <v>6790702</v>
          </cell>
          <cell r="B318" t="str">
            <v>6790702</v>
          </cell>
          <cell r="C318" t="str">
            <v>IC Fee</v>
          </cell>
          <cell r="D318">
            <v>615970</v>
          </cell>
          <cell r="E318">
            <v>739607</v>
          </cell>
          <cell r="F318">
            <v>615970</v>
          </cell>
          <cell r="G318">
            <v>615970</v>
          </cell>
          <cell r="H318">
            <v>615970</v>
          </cell>
          <cell r="I318">
            <v>615970</v>
          </cell>
          <cell r="J318">
            <v>615970</v>
          </cell>
          <cell r="K318">
            <v>615970</v>
          </cell>
          <cell r="L318">
            <v>615970</v>
          </cell>
          <cell r="M318">
            <v>615970</v>
          </cell>
          <cell r="N318">
            <v>615970</v>
          </cell>
          <cell r="O318">
            <v>865970</v>
          </cell>
          <cell r="P318">
            <v>625209</v>
          </cell>
          <cell r="Q318">
            <v>625209</v>
          </cell>
          <cell r="R318">
            <v>625209</v>
          </cell>
          <cell r="S318">
            <v>625209</v>
          </cell>
          <cell r="T318">
            <v>625209</v>
          </cell>
          <cell r="U318">
            <v>625209</v>
          </cell>
          <cell r="V318">
            <v>625209</v>
          </cell>
          <cell r="W318">
            <v>625209</v>
          </cell>
          <cell r="X318">
            <v>625209</v>
          </cell>
          <cell r="Y318">
            <v>625209</v>
          </cell>
          <cell r="Z318">
            <v>625209</v>
          </cell>
          <cell r="AA318">
            <v>889996</v>
          </cell>
          <cell r="AB318">
            <v>635213</v>
          </cell>
          <cell r="AC318">
            <v>635213</v>
          </cell>
          <cell r="AD318">
            <v>635213</v>
          </cell>
          <cell r="AE318">
            <v>635213</v>
          </cell>
          <cell r="AF318">
            <v>635213</v>
          </cell>
          <cell r="AG318">
            <v>635213</v>
          </cell>
          <cell r="AH318">
            <v>635213</v>
          </cell>
          <cell r="AI318">
            <v>635213</v>
          </cell>
          <cell r="AJ318">
            <v>635213</v>
          </cell>
          <cell r="AK318">
            <v>635213</v>
          </cell>
          <cell r="AL318">
            <v>635213</v>
          </cell>
          <cell r="AM318">
            <v>899026</v>
          </cell>
          <cell r="AN318">
            <v>635847</v>
          </cell>
          <cell r="AO318">
            <v>635847</v>
          </cell>
          <cell r="AP318">
            <v>635847</v>
          </cell>
          <cell r="AQ318">
            <v>635847</v>
          </cell>
          <cell r="AR318">
            <v>635847</v>
          </cell>
          <cell r="AS318">
            <v>635847</v>
          </cell>
          <cell r="AT318">
            <v>635847</v>
          </cell>
          <cell r="AU318">
            <v>635847</v>
          </cell>
          <cell r="AV318">
            <v>635847</v>
          </cell>
          <cell r="AW318">
            <v>635847</v>
          </cell>
          <cell r="AX318">
            <v>635847</v>
          </cell>
          <cell r="AY318">
            <v>885847</v>
          </cell>
          <cell r="AZ318">
            <v>644113</v>
          </cell>
          <cell r="BA318">
            <v>644113</v>
          </cell>
          <cell r="BB318">
            <v>644113</v>
          </cell>
          <cell r="BC318">
            <v>644113</v>
          </cell>
          <cell r="BD318">
            <v>644113</v>
          </cell>
          <cell r="BE318">
            <v>644113</v>
          </cell>
          <cell r="BF318">
            <v>644113</v>
          </cell>
          <cell r="BG318">
            <v>644113</v>
          </cell>
          <cell r="BH318">
            <v>644113</v>
          </cell>
          <cell r="BI318">
            <v>644113</v>
          </cell>
          <cell r="BJ318">
            <v>644113</v>
          </cell>
          <cell r="BK318">
            <v>838251</v>
          </cell>
          <cell r="BL318">
            <v>657640</v>
          </cell>
          <cell r="BM318">
            <v>657640</v>
          </cell>
          <cell r="BN318">
            <v>657640</v>
          </cell>
          <cell r="BO318">
            <v>657640</v>
          </cell>
          <cell r="BP318">
            <v>657640</v>
          </cell>
          <cell r="BQ318">
            <v>657640</v>
          </cell>
          <cell r="BR318">
            <v>657640</v>
          </cell>
          <cell r="BS318">
            <v>657640</v>
          </cell>
          <cell r="BT318">
            <v>657640</v>
          </cell>
          <cell r="BU318">
            <v>657640</v>
          </cell>
          <cell r="BV318">
            <v>657640</v>
          </cell>
          <cell r="BW318">
            <v>916066.78</v>
          </cell>
          <cell r="BX318">
            <v>670135</v>
          </cell>
          <cell r="BY318">
            <v>670135</v>
          </cell>
          <cell r="BZ318">
            <v>670135</v>
          </cell>
          <cell r="CA318">
            <v>670135</v>
          </cell>
          <cell r="CB318">
            <v>670135</v>
          </cell>
          <cell r="CC318">
            <v>670135</v>
          </cell>
          <cell r="CD318">
            <v>670135</v>
          </cell>
          <cell r="CE318">
            <v>670135</v>
          </cell>
          <cell r="CF318">
            <v>670135</v>
          </cell>
          <cell r="CG318">
            <v>670135</v>
          </cell>
          <cell r="CH318">
            <v>670135</v>
          </cell>
          <cell r="CI318">
            <v>858234</v>
          </cell>
          <cell r="CJ318">
            <v>685545</v>
          </cell>
          <cell r="CK318">
            <v>685545</v>
          </cell>
          <cell r="CL318">
            <v>685545</v>
          </cell>
          <cell r="CM318">
            <v>685545</v>
          </cell>
          <cell r="CN318">
            <v>685545</v>
          </cell>
          <cell r="CO318">
            <v>685545</v>
          </cell>
          <cell r="CP318">
            <v>685545</v>
          </cell>
          <cell r="CQ318">
            <v>685545</v>
          </cell>
          <cell r="CR318">
            <v>685545</v>
          </cell>
          <cell r="CS318">
            <v>685545</v>
          </cell>
          <cell r="CT318">
            <v>685545</v>
          </cell>
          <cell r="CU318">
            <v>822331</v>
          </cell>
          <cell r="CV318">
            <v>693771</v>
          </cell>
          <cell r="CW318">
            <v>693771</v>
          </cell>
          <cell r="CX318">
            <v>693771</v>
          </cell>
          <cell r="CY318">
            <v>693771</v>
          </cell>
          <cell r="CZ318">
            <v>693771</v>
          </cell>
          <cell r="DA318">
            <v>693771</v>
          </cell>
          <cell r="DB318">
            <v>693771</v>
          </cell>
          <cell r="DC318">
            <v>693771</v>
          </cell>
          <cell r="DD318">
            <v>693771</v>
          </cell>
          <cell r="DE318">
            <v>693771</v>
          </cell>
          <cell r="DF318">
            <v>693771</v>
          </cell>
          <cell r="DG318">
            <v>854509</v>
          </cell>
          <cell r="DH318">
            <v>8485990</v>
          </cell>
        </row>
        <row r="319">
          <cell r="A319" t="str">
            <v>6790704</v>
          </cell>
          <cell r="B319" t="str">
            <v>6790704</v>
          </cell>
          <cell r="C319" t="str">
            <v>IC Corp Services</v>
          </cell>
          <cell r="AZ319">
            <v>0</v>
          </cell>
          <cell r="BA319">
            <v>9232.48</v>
          </cell>
          <cell r="BB319">
            <v>4492.7299999999996</v>
          </cell>
          <cell r="BC319">
            <v>30277.9</v>
          </cell>
          <cell r="BD319">
            <v>4513.32</v>
          </cell>
          <cell r="BE319">
            <v>4425.3100000000004</v>
          </cell>
          <cell r="BF319">
            <v>48982.05</v>
          </cell>
          <cell r="BG319">
            <v>11767.71</v>
          </cell>
          <cell r="BH319">
            <v>14747.31</v>
          </cell>
          <cell r="BI319">
            <v>6658.71</v>
          </cell>
          <cell r="BJ319">
            <v>15519.77</v>
          </cell>
          <cell r="BK319">
            <v>9831.8799999999992</v>
          </cell>
          <cell r="BL319">
            <v>18955.95</v>
          </cell>
          <cell r="BM319">
            <v>33349.83</v>
          </cell>
          <cell r="BN319">
            <v>33034.04</v>
          </cell>
          <cell r="BO319">
            <v>28498.42</v>
          </cell>
          <cell r="BP319">
            <v>24243.91</v>
          </cell>
          <cell r="BQ319">
            <v>56319.93</v>
          </cell>
          <cell r="BR319">
            <v>29780.17</v>
          </cell>
          <cell r="BS319">
            <v>15956.92</v>
          </cell>
          <cell r="BT319">
            <v>31080.59</v>
          </cell>
          <cell r="BU319">
            <v>23654.28</v>
          </cell>
          <cell r="BV319">
            <v>23566.73</v>
          </cell>
          <cell r="BW319">
            <v>42032.11</v>
          </cell>
          <cell r="BX319">
            <v>45494.89</v>
          </cell>
          <cell r="BY319">
            <v>29800.25</v>
          </cell>
          <cell r="BZ319">
            <v>38039.39</v>
          </cell>
          <cell r="CA319">
            <v>29906.21</v>
          </cell>
          <cell r="CB319">
            <v>38997.56</v>
          </cell>
          <cell r="CC319">
            <v>25350.19</v>
          </cell>
          <cell r="CD319">
            <v>35291.06</v>
          </cell>
          <cell r="CE319">
            <v>190963.01</v>
          </cell>
          <cell r="CF319">
            <v>42138.02</v>
          </cell>
          <cell r="CG319">
            <v>38733.89</v>
          </cell>
          <cell r="CH319">
            <v>53434.21</v>
          </cell>
          <cell r="CI319">
            <v>102700.83</v>
          </cell>
          <cell r="CJ319">
            <v>43924.68</v>
          </cell>
          <cell r="CK319">
            <v>26728.720000000001</v>
          </cell>
          <cell r="CL319">
            <v>44676.27</v>
          </cell>
          <cell r="CM319">
            <v>65809.06</v>
          </cell>
          <cell r="CN319">
            <v>46892.69</v>
          </cell>
          <cell r="CO319">
            <v>22028.59</v>
          </cell>
          <cell r="CP319">
            <v>38059.410000000003</v>
          </cell>
          <cell r="CQ319">
            <v>32507.82</v>
          </cell>
          <cell r="CR319">
            <v>46641.52</v>
          </cell>
          <cell r="CS319">
            <v>39404.78</v>
          </cell>
          <cell r="CT319">
            <v>30890.58</v>
          </cell>
          <cell r="CU319">
            <v>36830.410000000003</v>
          </cell>
          <cell r="CV319">
            <v>75363.33</v>
          </cell>
          <cell r="CW319">
            <v>47958.85</v>
          </cell>
          <cell r="CX319">
            <v>52078.75</v>
          </cell>
          <cell r="CY319">
            <v>62471.360000000001</v>
          </cell>
          <cell r="CZ319">
            <v>61690.9</v>
          </cell>
          <cell r="DA319">
            <v>28477.25</v>
          </cell>
          <cell r="DB319">
            <v>62859.21</v>
          </cell>
          <cell r="DC319">
            <v>43095.38</v>
          </cell>
          <cell r="DD319">
            <v>70535.509999999995</v>
          </cell>
          <cell r="DE319">
            <v>78336.83</v>
          </cell>
          <cell r="DF319">
            <v>58552.67</v>
          </cell>
          <cell r="DG319">
            <v>55725.08</v>
          </cell>
          <cell r="DH319">
            <v>697145.12</v>
          </cell>
        </row>
        <row r="320">
          <cell r="A320" t="str">
            <v>6790705</v>
          </cell>
          <cell r="B320" t="str">
            <v>6790705</v>
          </cell>
          <cell r="C320" t="str">
            <v>IC Print Shop</v>
          </cell>
          <cell r="D320">
            <v>4270.6499999999996</v>
          </cell>
          <cell r="E320">
            <v>1978.59</v>
          </cell>
          <cell r="F320">
            <v>3955.7</v>
          </cell>
          <cell r="G320">
            <v>9073.9599999999991</v>
          </cell>
          <cell r="H320">
            <v>7692.96</v>
          </cell>
          <cell r="I320">
            <v>6911.98</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row>
        <row r="321">
          <cell r="A321" t="str">
            <v>6790706</v>
          </cell>
          <cell r="B321" t="str">
            <v>6790706</v>
          </cell>
          <cell r="C321" t="str">
            <v>IC Reten Mail Svc</v>
          </cell>
          <cell r="D321">
            <v>300.7</v>
          </cell>
          <cell r="E321">
            <v>315.97000000000003</v>
          </cell>
          <cell r="F321">
            <v>426.95</v>
          </cell>
          <cell r="G321">
            <v>508.09</v>
          </cell>
          <cell r="H321">
            <v>398.42</v>
          </cell>
          <cell r="I321">
            <v>344.68</v>
          </cell>
          <cell r="J321">
            <v>245.08</v>
          </cell>
          <cell r="K321">
            <v>384.46</v>
          </cell>
          <cell r="L321">
            <v>267.04000000000002</v>
          </cell>
          <cell r="M321">
            <v>349.72</v>
          </cell>
          <cell r="N321">
            <v>364.42</v>
          </cell>
          <cell r="O321">
            <v>361.59</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row>
        <row r="322">
          <cell r="A322" t="str">
            <v>6790707</v>
          </cell>
          <cell r="B322" t="str">
            <v>6790707</v>
          </cell>
          <cell r="C322" t="str">
            <v>IC Direct fr Svc Co</v>
          </cell>
          <cell r="D322">
            <v>46911.48</v>
          </cell>
          <cell r="E322">
            <v>42131.61</v>
          </cell>
          <cell r="F322">
            <v>42369.05</v>
          </cell>
          <cell r="G322">
            <v>42340.29</v>
          </cell>
          <cell r="H322">
            <v>47866.87</v>
          </cell>
          <cell r="I322">
            <v>48024.85</v>
          </cell>
          <cell r="J322">
            <v>49219.97</v>
          </cell>
          <cell r="K322">
            <v>45012.99</v>
          </cell>
          <cell r="L322">
            <v>44769.41</v>
          </cell>
          <cell r="M322">
            <v>48967.06</v>
          </cell>
          <cell r="N322">
            <v>54440.79</v>
          </cell>
          <cell r="O322">
            <v>45207.91</v>
          </cell>
          <cell r="P322">
            <v>0</v>
          </cell>
          <cell r="Q322">
            <v>-6607.42</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row>
        <row r="323">
          <cell r="A323" t="str">
            <v>6790708</v>
          </cell>
          <cell r="B323" t="str">
            <v>6790708</v>
          </cell>
          <cell r="C323" t="str">
            <v>IC Indirect fr SvcCo</v>
          </cell>
          <cell r="D323">
            <v>345963.48</v>
          </cell>
          <cell r="E323">
            <v>369148.83</v>
          </cell>
          <cell r="F323">
            <v>430049.67</v>
          </cell>
          <cell r="G323">
            <v>378627.15</v>
          </cell>
          <cell r="H323">
            <v>378205.63</v>
          </cell>
          <cell r="I323">
            <v>389216.03</v>
          </cell>
          <cell r="J323">
            <v>344275.23</v>
          </cell>
          <cell r="K323">
            <v>323798.90000000002</v>
          </cell>
          <cell r="L323">
            <v>323257.27</v>
          </cell>
          <cell r="M323">
            <v>329364.77</v>
          </cell>
          <cell r="N323">
            <v>302912.05</v>
          </cell>
          <cell r="O323">
            <v>393352.48</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row>
        <row r="324">
          <cell r="A324" t="str">
            <v>6790709</v>
          </cell>
          <cell r="B324" t="str">
            <v>6790709</v>
          </cell>
          <cell r="C324" t="str">
            <v>IC Asset Usage Fee</v>
          </cell>
          <cell r="AE324">
            <v>79010.740000000005</v>
          </cell>
          <cell r="AF324">
            <v>78145.039999999994</v>
          </cell>
          <cell r="AG324">
            <v>76402.16</v>
          </cell>
          <cell r="AH324">
            <v>76187.44</v>
          </cell>
          <cell r="AI324">
            <v>75925.789999999994</v>
          </cell>
          <cell r="AJ324">
            <v>-275458.92</v>
          </cell>
          <cell r="AK324">
            <v>38726.269999999997</v>
          </cell>
          <cell r="AL324">
            <v>38726.269999999997</v>
          </cell>
          <cell r="AM324">
            <v>40135.21</v>
          </cell>
          <cell r="AN324">
            <v>40751.74</v>
          </cell>
          <cell r="AO324">
            <v>41361.269999999997</v>
          </cell>
          <cell r="AP324">
            <v>199995.26</v>
          </cell>
          <cell r="AQ324">
            <v>215136.01</v>
          </cell>
          <cell r="AR324">
            <v>202716.59</v>
          </cell>
          <cell r="AS324">
            <v>207815.81</v>
          </cell>
          <cell r="AT324">
            <v>206609.86</v>
          </cell>
          <cell r="AU324">
            <v>206126.61</v>
          </cell>
          <cell r="AV324">
            <v>212787.74</v>
          </cell>
          <cell r="AW324">
            <v>207851.5</v>
          </cell>
          <cell r="AX324">
            <v>212826.64</v>
          </cell>
          <cell r="AY324">
            <v>212352.13</v>
          </cell>
          <cell r="AZ324">
            <v>214449.29</v>
          </cell>
          <cell r="BA324">
            <v>215883.06</v>
          </cell>
          <cell r="BB324">
            <v>219641.78</v>
          </cell>
          <cell r="BC324">
            <v>220316.19</v>
          </cell>
          <cell r="BD324">
            <v>220310.18</v>
          </cell>
          <cell r="BE324">
            <v>225391.99</v>
          </cell>
          <cell r="BF324">
            <v>225418.59</v>
          </cell>
          <cell r="BG324">
            <v>238526.09</v>
          </cell>
          <cell r="BH324">
            <v>259754.21</v>
          </cell>
          <cell r="BI324">
            <v>242074.23999999999</v>
          </cell>
          <cell r="BJ324">
            <v>244119</v>
          </cell>
          <cell r="BK324">
            <v>251684.56</v>
          </cell>
          <cell r="BL324">
            <v>257927.73</v>
          </cell>
          <cell r="BM324">
            <v>259419.22</v>
          </cell>
          <cell r="BN324">
            <v>260805.17</v>
          </cell>
          <cell r="BO324">
            <v>263581.13</v>
          </cell>
          <cell r="BP324">
            <v>261356.72</v>
          </cell>
          <cell r="BQ324">
            <v>263766.28000000003</v>
          </cell>
          <cell r="BR324">
            <v>278173</v>
          </cell>
          <cell r="BS324">
            <v>279215</v>
          </cell>
          <cell r="BT324">
            <v>280361</v>
          </cell>
          <cell r="BU324">
            <v>229185.23</v>
          </cell>
          <cell r="BV324">
            <v>267560.98</v>
          </cell>
          <cell r="BW324">
            <v>269325.39</v>
          </cell>
          <cell r="BX324">
            <v>278390.28999999998</v>
          </cell>
          <cell r="BY324">
            <v>286658.63</v>
          </cell>
          <cell r="BZ324">
            <v>286692.84999999998</v>
          </cell>
          <cell r="CA324">
            <v>286285.55</v>
          </cell>
          <cell r="CB324">
            <v>286266.92</v>
          </cell>
          <cell r="CC324">
            <v>286446.34000000003</v>
          </cell>
          <cell r="CD324">
            <v>286525.03000000003</v>
          </cell>
          <cell r="CE324">
            <v>248614.88</v>
          </cell>
          <cell r="CF324">
            <v>281305.59999999998</v>
          </cell>
          <cell r="CG324">
            <v>280145.01</v>
          </cell>
          <cell r="CH324">
            <v>281623.61</v>
          </cell>
          <cell r="CI324">
            <v>273275.63</v>
          </cell>
          <cell r="CJ324">
            <v>274027.87</v>
          </cell>
          <cell r="CK324">
            <v>292745.88</v>
          </cell>
          <cell r="CL324">
            <v>293699.89</v>
          </cell>
          <cell r="CM324">
            <v>292591.86</v>
          </cell>
          <cell r="CN324">
            <v>293940.82</v>
          </cell>
          <cell r="CO324">
            <v>293833.38</v>
          </cell>
          <cell r="CP324">
            <v>291163.21000000002</v>
          </cell>
          <cell r="CQ324">
            <v>292145.12</v>
          </cell>
          <cell r="CR324">
            <v>294204.26</v>
          </cell>
          <cell r="CS324">
            <v>-410757.68</v>
          </cell>
          <cell r="CT324">
            <v>268638.81</v>
          </cell>
          <cell r="CU324">
            <v>269878.27</v>
          </cell>
          <cell r="CV324">
            <v>269648.84999999998</v>
          </cell>
          <cell r="CW324">
            <v>274137.51</v>
          </cell>
          <cell r="CX324">
            <v>274121.34000000003</v>
          </cell>
          <cell r="CY324">
            <v>274090.13</v>
          </cell>
          <cell r="CZ324">
            <v>274067.02</v>
          </cell>
          <cell r="DA324">
            <v>281436.84000000003</v>
          </cell>
          <cell r="DB324">
            <v>281516.26</v>
          </cell>
          <cell r="DC324">
            <v>285502.26</v>
          </cell>
          <cell r="DD324">
            <v>284704.18</v>
          </cell>
          <cell r="DE324">
            <v>284648.74</v>
          </cell>
          <cell r="DF324">
            <v>282060.65999999997</v>
          </cell>
          <cell r="DG324">
            <v>279417.02</v>
          </cell>
          <cell r="DH324">
            <v>3345350.81</v>
          </cell>
        </row>
        <row r="325">
          <cell r="A325" t="str">
            <v>6790800</v>
          </cell>
          <cell r="B325" t="str">
            <v>6790800</v>
          </cell>
          <cell r="C325" t="str">
            <v>Other Oper-Misc</v>
          </cell>
          <cell r="D325">
            <v>20034.669999999998</v>
          </cell>
          <cell r="E325">
            <v>23400.5</v>
          </cell>
          <cell r="F325">
            <v>16972.689999999999</v>
          </cell>
          <cell r="G325">
            <v>37600.839999999997</v>
          </cell>
          <cell r="H325">
            <v>12689.84</v>
          </cell>
          <cell r="I325">
            <v>58387.91</v>
          </cell>
          <cell r="J325">
            <v>28277.85</v>
          </cell>
          <cell r="K325">
            <v>245616.5</v>
          </cell>
          <cell r="L325">
            <v>163305.16</v>
          </cell>
          <cell r="M325">
            <v>20955.02</v>
          </cell>
          <cell r="N325">
            <v>18296.63</v>
          </cell>
          <cell r="O325">
            <v>6016547.8600000003</v>
          </cell>
          <cell r="P325">
            <v>-5099.18</v>
          </cell>
          <cell r="Q325">
            <v>-50907.040000000001</v>
          </cell>
          <cell r="R325">
            <v>850636.39</v>
          </cell>
          <cell r="S325">
            <v>-1732623.13</v>
          </cell>
          <cell r="T325">
            <v>12321.94</v>
          </cell>
          <cell r="U325">
            <v>8509.7099999999991</v>
          </cell>
          <cell r="V325">
            <v>60807.61</v>
          </cell>
          <cell r="W325">
            <v>-473742.69</v>
          </cell>
          <cell r="X325">
            <v>61389.36</v>
          </cell>
          <cell r="Y325">
            <v>41658.83</v>
          </cell>
          <cell r="Z325">
            <v>-19305.330000000002</v>
          </cell>
          <cell r="AA325">
            <v>-28433.96</v>
          </cell>
          <cell r="AB325">
            <v>17983.61</v>
          </cell>
          <cell r="AC325">
            <v>24371.93</v>
          </cell>
          <cell r="AD325">
            <v>19081.54</v>
          </cell>
          <cell r="AE325">
            <v>14050.4</v>
          </cell>
          <cell r="AF325">
            <v>28387.29</v>
          </cell>
          <cell r="AG325">
            <v>136857.01999999999</v>
          </cell>
          <cell r="AH325">
            <v>-101066.99</v>
          </cell>
          <cell r="AI325">
            <v>17060.419999999998</v>
          </cell>
          <cell r="AJ325">
            <v>278009.21000000002</v>
          </cell>
          <cell r="AK325">
            <v>7776.83</v>
          </cell>
          <cell r="AL325">
            <v>-393691.19</v>
          </cell>
          <cell r="AM325">
            <v>583224.04</v>
          </cell>
          <cell r="AN325">
            <v>-345962.28</v>
          </cell>
          <cell r="AO325">
            <v>35448.26</v>
          </cell>
          <cell r="AP325">
            <v>-1438.77</v>
          </cell>
          <cell r="AQ325">
            <v>28349.84</v>
          </cell>
          <cell r="AR325">
            <v>50440.99</v>
          </cell>
          <cell r="AS325">
            <v>-1305418.83</v>
          </cell>
          <cell r="AT325">
            <v>-1535445.11</v>
          </cell>
          <cell r="AU325">
            <v>-253165.54</v>
          </cell>
          <cell r="AV325">
            <v>-385668.07</v>
          </cell>
          <cell r="AW325">
            <v>57600.11</v>
          </cell>
          <cell r="AX325">
            <v>-11448.41</v>
          </cell>
          <cell r="AY325">
            <v>-556531.87</v>
          </cell>
          <cell r="AZ325">
            <v>-151880.15</v>
          </cell>
          <cell r="BA325">
            <v>12749.1</v>
          </cell>
          <cell r="BB325">
            <v>17501.77</v>
          </cell>
          <cell r="BC325">
            <v>105674.5</v>
          </cell>
          <cell r="BD325">
            <v>228516.39</v>
          </cell>
          <cell r="BE325">
            <v>24391.34</v>
          </cell>
          <cell r="BF325">
            <v>-502024.23</v>
          </cell>
          <cell r="BG325">
            <v>160816.5</v>
          </cell>
          <cell r="BH325">
            <v>-231410.74</v>
          </cell>
          <cell r="BI325">
            <v>-54689.4</v>
          </cell>
          <cell r="BJ325">
            <v>1129599.29</v>
          </cell>
          <cell r="BK325">
            <v>-571469.12</v>
          </cell>
          <cell r="BL325">
            <v>69347.59</v>
          </cell>
          <cell r="BM325">
            <v>-36181.1</v>
          </cell>
          <cell r="BN325">
            <v>16991.09</v>
          </cell>
          <cell r="BO325">
            <v>30936.18</v>
          </cell>
          <cell r="BP325">
            <v>3371052.29</v>
          </cell>
          <cell r="BQ325">
            <v>59711.49</v>
          </cell>
          <cell r="BR325">
            <v>1947214.49</v>
          </cell>
          <cell r="BS325">
            <v>-188001.06</v>
          </cell>
          <cell r="BT325">
            <v>6282124.1699999999</v>
          </cell>
          <cell r="BU325">
            <v>468487.81</v>
          </cell>
          <cell r="BV325">
            <v>838344.13</v>
          </cell>
          <cell r="BW325">
            <v>443032.21</v>
          </cell>
          <cell r="BX325">
            <v>-3625549.5</v>
          </cell>
          <cell r="BY325">
            <v>8161156.46</v>
          </cell>
          <cell r="BZ325">
            <v>-134025.31</v>
          </cell>
          <cell r="CA325">
            <v>829247.68</v>
          </cell>
          <cell r="CB325">
            <v>337833.71</v>
          </cell>
          <cell r="CC325">
            <v>5110198.04</v>
          </cell>
          <cell r="CD325">
            <v>3242869.27</v>
          </cell>
          <cell r="CE325">
            <v>9339663.3300000001</v>
          </cell>
          <cell r="CF325">
            <v>143793.91</v>
          </cell>
          <cell r="CG325">
            <v>564652.39</v>
          </cell>
          <cell r="CH325">
            <v>81693.55</v>
          </cell>
          <cell r="CI325">
            <v>814710.33</v>
          </cell>
          <cell r="CJ325">
            <v>161947.85999999999</v>
          </cell>
          <cell r="CK325">
            <v>215831.13</v>
          </cell>
          <cell r="CL325">
            <v>177107.3</v>
          </cell>
          <cell r="CM325">
            <v>175607.03</v>
          </cell>
          <cell r="CN325">
            <v>686502.75</v>
          </cell>
          <cell r="CO325">
            <v>370375.36</v>
          </cell>
          <cell r="CP325">
            <v>181436.45</v>
          </cell>
          <cell r="CQ325">
            <v>169785.14</v>
          </cell>
          <cell r="CR325">
            <v>-1450568.34</v>
          </cell>
          <cell r="CS325">
            <v>165964.97</v>
          </cell>
          <cell r="CT325">
            <v>181189.52</v>
          </cell>
          <cell r="CU325">
            <v>-729807.26</v>
          </cell>
          <cell r="CV325">
            <v>89190.25</v>
          </cell>
          <cell r="CW325">
            <v>593595.16</v>
          </cell>
          <cell r="CX325">
            <v>768385.98</v>
          </cell>
          <cell r="CY325">
            <v>521615.17</v>
          </cell>
          <cell r="CZ325">
            <v>344759.61</v>
          </cell>
          <cell r="DA325">
            <v>630006.74</v>
          </cell>
          <cell r="DB325">
            <v>433075.28</v>
          </cell>
          <cell r="DC325">
            <v>561335.53</v>
          </cell>
          <cell r="DD325">
            <v>3896862.6</v>
          </cell>
          <cell r="DE325">
            <v>-3738159.7</v>
          </cell>
          <cell r="DF325">
            <v>447083.45</v>
          </cell>
          <cell r="DG325">
            <v>1571039.75</v>
          </cell>
          <cell r="DH325">
            <v>6118789.8200000003</v>
          </cell>
        </row>
        <row r="326">
          <cell r="A326" t="str">
            <v>6790801</v>
          </cell>
          <cell r="B326" t="str">
            <v>6790801</v>
          </cell>
          <cell r="C326" t="str">
            <v>Other Oper-GAAP Adj</v>
          </cell>
          <cell r="AE326">
            <v>0</v>
          </cell>
          <cell r="AF326">
            <v>0</v>
          </cell>
          <cell r="AG326">
            <v>-65059</v>
          </cell>
          <cell r="AH326">
            <v>-21686</v>
          </cell>
          <cell r="AI326">
            <v>-21686</v>
          </cell>
          <cell r="AJ326">
            <v>-21686</v>
          </cell>
          <cell r="AK326">
            <v>-21687</v>
          </cell>
          <cell r="AL326">
            <v>-36838</v>
          </cell>
          <cell r="AM326">
            <v>-29262</v>
          </cell>
          <cell r="AN326">
            <v>-29262</v>
          </cell>
          <cell r="AO326">
            <v>-29262</v>
          </cell>
          <cell r="AP326">
            <v>-29262</v>
          </cell>
          <cell r="AQ326">
            <v>-59215</v>
          </cell>
          <cell r="AR326">
            <v>-59215</v>
          </cell>
          <cell r="AS326">
            <v>-59215</v>
          </cell>
          <cell r="AT326">
            <v>-59215</v>
          </cell>
          <cell r="AU326">
            <v>-59215</v>
          </cell>
          <cell r="AV326">
            <v>-59215</v>
          </cell>
          <cell r="AW326">
            <v>-69679</v>
          </cell>
          <cell r="AX326">
            <v>-69679</v>
          </cell>
          <cell r="AY326">
            <v>-69679</v>
          </cell>
          <cell r="AZ326">
            <v>-69679</v>
          </cell>
          <cell r="BA326">
            <v>-69679</v>
          </cell>
          <cell r="BB326">
            <v>-69679</v>
          </cell>
          <cell r="BC326">
            <v>-69679</v>
          </cell>
          <cell r="BD326">
            <v>-69679</v>
          </cell>
          <cell r="BE326">
            <v>-69679</v>
          </cell>
          <cell r="BF326">
            <v>-69679</v>
          </cell>
          <cell r="BG326">
            <v>-69679</v>
          </cell>
          <cell r="BH326">
            <v>-69679</v>
          </cell>
          <cell r="BI326">
            <v>-69679</v>
          </cell>
          <cell r="BJ326">
            <v>-69679</v>
          </cell>
          <cell r="BK326">
            <v>-69679</v>
          </cell>
          <cell r="BL326">
            <v>-69679</v>
          </cell>
          <cell r="BM326">
            <v>-69679</v>
          </cell>
          <cell r="BN326">
            <v>-69679</v>
          </cell>
          <cell r="BO326">
            <v>-69679</v>
          </cell>
          <cell r="BP326">
            <v>-69679</v>
          </cell>
          <cell r="BQ326">
            <v>-69679</v>
          </cell>
          <cell r="BR326">
            <v>-69679</v>
          </cell>
          <cell r="BS326">
            <v>-69679</v>
          </cell>
          <cell r="BT326">
            <v>-69679</v>
          </cell>
          <cell r="BU326">
            <v>-69678</v>
          </cell>
          <cell r="BV326">
            <v>-69678</v>
          </cell>
          <cell r="BW326">
            <v>-69678</v>
          </cell>
          <cell r="BX326">
            <v>-69678</v>
          </cell>
          <cell r="BY326">
            <v>-69679</v>
          </cell>
          <cell r="BZ326">
            <v>-69679</v>
          </cell>
          <cell r="CA326">
            <v>-61412</v>
          </cell>
          <cell r="CB326">
            <v>-61412</v>
          </cell>
          <cell r="CC326">
            <v>-61412</v>
          </cell>
          <cell r="CD326">
            <v>-61412</v>
          </cell>
          <cell r="CE326">
            <v>-61412</v>
          </cell>
          <cell r="CF326">
            <v>-61412</v>
          </cell>
          <cell r="CG326">
            <v>-58524</v>
          </cell>
          <cell r="CH326">
            <v>-58524</v>
          </cell>
          <cell r="CI326">
            <v>-58524</v>
          </cell>
          <cell r="CJ326">
            <v>-58524</v>
          </cell>
          <cell r="CK326">
            <v>-58524</v>
          </cell>
          <cell r="CL326">
            <v>-58525</v>
          </cell>
          <cell r="CM326">
            <v>-58525</v>
          </cell>
          <cell r="CN326">
            <v>-58525</v>
          </cell>
          <cell r="CO326">
            <v>-58525</v>
          </cell>
          <cell r="CP326">
            <v>-58525</v>
          </cell>
          <cell r="CQ326">
            <v>-58525</v>
          </cell>
          <cell r="CR326">
            <v>-58525</v>
          </cell>
          <cell r="CS326">
            <v>-58525</v>
          </cell>
          <cell r="CT326">
            <v>-58525</v>
          </cell>
          <cell r="CU326">
            <v>-58525</v>
          </cell>
          <cell r="CV326">
            <v>-58525</v>
          </cell>
          <cell r="CW326">
            <v>-58525</v>
          </cell>
          <cell r="CX326">
            <v>-58525</v>
          </cell>
          <cell r="CY326">
            <v>-43373</v>
          </cell>
          <cell r="CZ326">
            <v>-43373</v>
          </cell>
          <cell r="DA326">
            <v>-43373</v>
          </cell>
          <cell r="DB326">
            <v>-43373</v>
          </cell>
          <cell r="DC326">
            <v>0</v>
          </cell>
          <cell r="DD326">
            <v>0</v>
          </cell>
          <cell r="DE326">
            <v>0</v>
          </cell>
          <cell r="DF326">
            <v>0</v>
          </cell>
          <cell r="DG326">
            <v>0</v>
          </cell>
          <cell r="DH326">
            <v>-349067</v>
          </cell>
        </row>
        <row r="327">
          <cell r="A327">
            <v>6790802</v>
          </cell>
          <cell r="B327">
            <v>6790802</v>
          </cell>
          <cell r="C327" t="str">
            <v>Other Below the Line</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339.23</v>
          </cell>
          <cell r="DG327">
            <v>0</v>
          </cell>
          <cell r="DH327">
            <v>339.23</v>
          </cell>
        </row>
        <row r="328">
          <cell r="A328" t="str">
            <v>6791000</v>
          </cell>
          <cell r="B328" t="str">
            <v>6791000</v>
          </cell>
          <cell r="C328" t="str">
            <v>Rate Case Expense</v>
          </cell>
          <cell r="CC328">
            <v>526.23</v>
          </cell>
          <cell r="CD328">
            <v>-567.46</v>
          </cell>
          <cell r="CE328">
            <v>0</v>
          </cell>
          <cell r="CF328">
            <v>0</v>
          </cell>
          <cell r="CG328">
            <v>0</v>
          </cell>
          <cell r="CH328">
            <v>0</v>
          </cell>
          <cell r="CI328">
            <v>0</v>
          </cell>
          <cell r="CJ328">
            <v>34179.129999999997</v>
          </cell>
          <cell r="CK328">
            <v>35838.28</v>
          </cell>
          <cell r="CL328">
            <v>35012.35</v>
          </cell>
          <cell r="CM328">
            <v>35009.919999999998</v>
          </cell>
          <cell r="CN328">
            <v>36408.83</v>
          </cell>
          <cell r="CO328">
            <v>35289.699999999997</v>
          </cell>
          <cell r="CP328">
            <v>35289.699999999997</v>
          </cell>
          <cell r="CQ328">
            <v>35289.699999999997</v>
          </cell>
          <cell r="CR328">
            <v>35289.699999999997</v>
          </cell>
          <cell r="CS328">
            <v>35289.699999999997</v>
          </cell>
          <cell r="CT328">
            <v>35289.699999999997</v>
          </cell>
          <cell r="CU328">
            <v>35289.699999999997</v>
          </cell>
          <cell r="CV328">
            <v>35289.699999999997</v>
          </cell>
          <cell r="CW328">
            <v>35289.699999999997</v>
          </cell>
          <cell r="CX328">
            <v>35289.699999999997</v>
          </cell>
          <cell r="CY328">
            <v>35289.699999999997</v>
          </cell>
          <cell r="CZ328">
            <v>35289.699999999997</v>
          </cell>
          <cell r="DA328">
            <v>35289.699999999997</v>
          </cell>
          <cell r="DB328">
            <v>35289.699999999997</v>
          </cell>
          <cell r="DC328">
            <v>35289.699999999997</v>
          </cell>
          <cell r="DD328">
            <v>35289.699999999997</v>
          </cell>
          <cell r="DE328">
            <v>35289.699999999997</v>
          </cell>
          <cell r="DF328">
            <v>35289.699999999997</v>
          </cell>
          <cell r="DG328">
            <v>35289.72</v>
          </cell>
          <cell r="DH328">
            <v>423476.42000000004</v>
          </cell>
        </row>
        <row r="329">
          <cell r="A329" t="str">
            <v>6798999</v>
          </cell>
          <cell r="B329" t="str">
            <v>6798999</v>
          </cell>
          <cell r="C329" t="str">
            <v>Oth Oper Exp Reclass</v>
          </cell>
          <cell r="D329">
            <v>15.4</v>
          </cell>
          <cell r="E329">
            <v>0</v>
          </cell>
          <cell r="F329">
            <v>-91090.559999999998</v>
          </cell>
          <cell r="G329">
            <v>-344699.84</v>
          </cell>
          <cell r="H329">
            <v>-38511.11</v>
          </cell>
          <cell r="I329">
            <v>-275235.74</v>
          </cell>
          <cell r="J329">
            <v>-703003.47</v>
          </cell>
          <cell r="K329">
            <v>-457434.98</v>
          </cell>
          <cell r="L329">
            <v>-139822.26</v>
          </cell>
          <cell r="M329">
            <v>-73593.8</v>
          </cell>
          <cell r="N329">
            <v>14713.87</v>
          </cell>
          <cell r="O329">
            <v>-130772.29</v>
          </cell>
          <cell r="P329">
            <v>-164659.79999999999</v>
          </cell>
          <cell r="Q329">
            <v>-116252.61</v>
          </cell>
          <cell r="R329">
            <v>-298091.69</v>
          </cell>
          <cell r="S329">
            <v>-91059.8</v>
          </cell>
          <cell r="T329">
            <v>-100075.5</v>
          </cell>
          <cell r="U329">
            <v>-40929.519999999997</v>
          </cell>
          <cell r="V329">
            <v>-37018.07</v>
          </cell>
          <cell r="W329">
            <v>-14455.56</v>
          </cell>
          <cell r="X329">
            <v>-11968.17</v>
          </cell>
          <cell r="Y329">
            <v>-20134.13</v>
          </cell>
          <cell r="Z329">
            <v>-368.92</v>
          </cell>
          <cell r="AA329">
            <v>912091.47</v>
          </cell>
          <cell r="AB329">
            <v>-13228.33</v>
          </cell>
          <cell r="AC329">
            <v>0</v>
          </cell>
          <cell r="AD329">
            <v>1000000</v>
          </cell>
          <cell r="AE329">
            <v>0</v>
          </cell>
          <cell r="AF329">
            <v>0</v>
          </cell>
          <cell r="AG329">
            <v>60892.23</v>
          </cell>
          <cell r="AH329">
            <v>0</v>
          </cell>
          <cell r="AI329">
            <v>5211.57</v>
          </cell>
          <cell r="AJ329">
            <v>0</v>
          </cell>
          <cell r="AK329">
            <v>0</v>
          </cell>
          <cell r="AL329">
            <v>0</v>
          </cell>
          <cell r="AM329">
            <v>-106937.09</v>
          </cell>
          <cell r="AN329">
            <v>0</v>
          </cell>
          <cell r="AO329">
            <v>-553692.48</v>
          </cell>
          <cell r="AP329">
            <v>0</v>
          </cell>
          <cell r="AQ329">
            <v>0</v>
          </cell>
          <cell r="AR329">
            <v>0</v>
          </cell>
          <cell r="AS329">
            <v>0</v>
          </cell>
          <cell r="AT329">
            <v>0</v>
          </cell>
          <cell r="AU329">
            <v>1055.48</v>
          </cell>
          <cell r="AV329">
            <v>0</v>
          </cell>
          <cell r="AW329">
            <v>0</v>
          </cell>
          <cell r="AX329">
            <v>0</v>
          </cell>
          <cell r="AY329">
            <v>12500</v>
          </cell>
          <cell r="AZ329">
            <v>0</v>
          </cell>
          <cell r="BA329">
            <v>-2005.14</v>
          </cell>
          <cell r="BB329">
            <v>0</v>
          </cell>
          <cell r="BC329">
            <v>114.61</v>
          </cell>
          <cell r="BD329">
            <v>0</v>
          </cell>
          <cell r="BE329">
            <v>0</v>
          </cell>
          <cell r="BF329">
            <v>0</v>
          </cell>
          <cell r="BG329">
            <v>0</v>
          </cell>
          <cell r="BH329">
            <v>0</v>
          </cell>
          <cell r="BI329">
            <v>31829.45</v>
          </cell>
          <cell r="BJ329">
            <v>145000</v>
          </cell>
          <cell r="BK329">
            <v>-467536.86</v>
          </cell>
          <cell r="BL329">
            <v>0</v>
          </cell>
          <cell r="BM329">
            <v>-481.09</v>
          </cell>
          <cell r="BN329">
            <v>905.83</v>
          </cell>
          <cell r="BO329">
            <v>487.61</v>
          </cell>
          <cell r="BP329">
            <v>1653.6</v>
          </cell>
          <cell r="BQ329">
            <v>1606.72</v>
          </cell>
          <cell r="BR329">
            <v>1252.3699999999999</v>
          </cell>
          <cell r="BS329">
            <v>1252.32</v>
          </cell>
          <cell r="BT329">
            <v>2837.46</v>
          </cell>
          <cell r="BU329">
            <v>622.79</v>
          </cell>
          <cell r="BV329">
            <v>47.92</v>
          </cell>
          <cell r="BW329">
            <v>-28545.26</v>
          </cell>
          <cell r="BX329">
            <v>0</v>
          </cell>
          <cell r="BY329">
            <v>47.92</v>
          </cell>
          <cell r="BZ329">
            <v>66.31</v>
          </cell>
          <cell r="CA329">
            <v>0</v>
          </cell>
          <cell r="CB329">
            <v>-44760.2</v>
          </cell>
          <cell r="CC329">
            <v>500</v>
          </cell>
          <cell r="CD329">
            <v>0</v>
          </cell>
          <cell r="CE329">
            <v>0</v>
          </cell>
          <cell r="CF329">
            <v>-592817.74</v>
          </cell>
          <cell r="CG329">
            <v>594014.88</v>
          </cell>
          <cell r="CH329">
            <v>769.11</v>
          </cell>
          <cell r="CI329">
            <v>402.24</v>
          </cell>
          <cell r="CJ329">
            <v>-26342.77</v>
          </cell>
          <cell r="CK329">
            <v>0</v>
          </cell>
          <cell r="CL329">
            <v>-4947</v>
          </cell>
          <cell r="CM329">
            <v>0</v>
          </cell>
          <cell r="CN329">
            <v>0</v>
          </cell>
          <cell r="CO329">
            <v>0</v>
          </cell>
          <cell r="CP329">
            <v>-582</v>
          </cell>
          <cell r="CQ329">
            <v>0</v>
          </cell>
          <cell r="CR329">
            <v>0</v>
          </cell>
          <cell r="CS329">
            <v>0</v>
          </cell>
          <cell r="CT329">
            <v>0</v>
          </cell>
          <cell r="CU329">
            <v>49626.080000000002</v>
          </cell>
          <cell r="CV329">
            <v>3323.77</v>
          </cell>
          <cell r="CW329">
            <v>1165.79</v>
          </cell>
          <cell r="CX329">
            <v>2328.17</v>
          </cell>
          <cell r="CY329">
            <v>23511.63</v>
          </cell>
          <cell r="CZ329">
            <v>10618.39</v>
          </cell>
          <cell r="DA329">
            <v>-16994.25</v>
          </cell>
          <cell r="DB329">
            <v>1403.95</v>
          </cell>
          <cell r="DC329">
            <v>-1563.5</v>
          </cell>
          <cell r="DD329">
            <v>3916.61</v>
          </cell>
          <cell r="DE329">
            <v>-234.04</v>
          </cell>
          <cell r="DF329">
            <v>4920.68</v>
          </cell>
          <cell r="DG329">
            <v>48074.28</v>
          </cell>
          <cell r="DH329">
            <v>80471.48</v>
          </cell>
        </row>
        <row r="330">
          <cell r="A330" t="str">
            <v>6799000</v>
          </cell>
          <cell r="B330" t="str">
            <v>6799000</v>
          </cell>
          <cell r="C330" t="str">
            <v>Other Oper to BalSht</v>
          </cell>
          <cell r="D330">
            <v>-458487.5</v>
          </cell>
          <cell r="E330">
            <v>-420646.25</v>
          </cell>
          <cell r="F330">
            <v>-434815.81</v>
          </cell>
          <cell r="G330">
            <v>-83274.3</v>
          </cell>
          <cell r="H330">
            <v>-554344.04</v>
          </cell>
          <cell r="I330">
            <v>-511133.25</v>
          </cell>
          <cell r="J330">
            <v>157063.54</v>
          </cell>
          <cell r="K330">
            <v>-484746.42</v>
          </cell>
          <cell r="L330">
            <v>-447144.2</v>
          </cell>
          <cell r="M330">
            <v>-160223.04000000001</v>
          </cell>
          <cell r="N330">
            <v>-565955.02</v>
          </cell>
          <cell r="O330">
            <v>-6328072.8200000003</v>
          </cell>
          <cell r="P330">
            <v>-290140.96000000002</v>
          </cell>
          <cell r="Q330">
            <v>-278630.94</v>
          </cell>
          <cell r="R330">
            <v>-937427.5</v>
          </cell>
          <cell r="S330">
            <v>1420608.84</v>
          </cell>
          <cell r="T330">
            <v>-296291.63</v>
          </cell>
          <cell r="U330">
            <v>-397884.77</v>
          </cell>
          <cell r="V330">
            <v>-446677.29</v>
          </cell>
          <cell r="W330">
            <v>99324.88</v>
          </cell>
          <cell r="X330">
            <v>-439022.03</v>
          </cell>
          <cell r="Y330">
            <v>-374258.68</v>
          </cell>
          <cell r="Z330">
            <v>-393835.64</v>
          </cell>
          <cell r="AA330">
            <v>-443960.37</v>
          </cell>
          <cell r="AB330">
            <v>-565381.59</v>
          </cell>
          <cell r="AC330">
            <v>-435359.54</v>
          </cell>
          <cell r="AD330">
            <v>-453175.32</v>
          </cell>
          <cell r="AE330">
            <v>-438793.91</v>
          </cell>
          <cell r="AF330">
            <v>-432260.9</v>
          </cell>
          <cell r="AG330">
            <v>-434459.32</v>
          </cell>
          <cell r="AH330">
            <v>-403168.4</v>
          </cell>
          <cell r="AI330">
            <v>-419284.05</v>
          </cell>
          <cell r="AJ330">
            <v>-902860.1</v>
          </cell>
          <cell r="AK330">
            <v>-539206.78</v>
          </cell>
          <cell r="AL330">
            <v>-22636.11</v>
          </cell>
          <cell r="AM330">
            <v>-1149424.26</v>
          </cell>
          <cell r="AN330">
            <v>-13832.16</v>
          </cell>
          <cell r="AO330">
            <v>140541.43</v>
          </cell>
          <cell r="AP330">
            <v>-439915.72</v>
          </cell>
          <cell r="AQ330">
            <v>-437692.47</v>
          </cell>
          <cell r="AR330">
            <v>-484019.47</v>
          </cell>
          <cell r="AS330">
            <v>865487.95</v>
          </cell>
          <cell r="AT330">
            <v>987938.81</v>
          </cell>
          <cell r="AU330">
            <v>-318951.8</v>
          </cell>
          <cell r="AV330">
            <v>-172226.74</v>
          </cell>
          <cell r="AW330">
            <v>-657547.82999999996</v>
          </cell>
          <cell r="AX330">
            <v>-543119.84</v>
          </cell>
          <cell r="AY330">
            <v>-138212.24</v>
          </cell>
          <cell r="AZ330">
            <v>-397910.97</v>
          </cell>
          <cell r="BA330">
            <v>-630015.62</v>
          </cell>
          <cell r="BB330">
            <v>-587253.91</v>
          </cell>
          <cell r="BC330">
            <v>-661220.4</v>
          </cell>
          <cell r="BD330">
            <v>-651511.57999999996</v>
          </cell>
          <cell r="BE330">
            <v>-631772.69999999995</v>
          </cell>
          <cell r="BF330">
            <v>-43712.45</v>
          </cell>
          <cell r="BG330">
            <v>-626577.53</v>
          </cell>
          <cell r="BH330">
            <v>-402632.04</v>
          </cell>
          <cell r="BI330">
            <v>-478340.84</v>
          </cell>
          <cell r="BJ330">
            <v>-1798919.32</v>
          </cell>
          <cell r="BK330">
            <v>39200.379999999997</v>
          </cell>
          <cell r="BL330">
            <v>-553319.73</v>
          </cell>
          <cell r="BM330">
            <v>-569231.65</v>
          </cell>
          <cell r="BN330">
            <v>-1216936.24</v>
          </cell>
          <cell r="BO330">
            <v>-769947.79</v>
          </cell>
          <cell r="BP330">
            <v>-4217632.82</v>
          </cell>
          <cell r="BQ330">
            <v>-880287.08</v>
          </cell>
          <cell r="BR330">
            <v>-2728349.95</v>
          </cell>
          <cell r="BS330">
            <v>-656685.93000000005</v>
          </cell>
          <cell r="BT330">
            <v>-7184027.3200000003</v>
          </cell>
          <cell r="BU330">
            <v>-1291999.22</v>
          </cell>
          <cell r="BV330">
            <v>-1567651.24</v>
          </cell>
          <cell r="BW330">
            <v>-1430576.57</v>
          </cell>
          <cell r="BX330">
            <v>2867467.28</v>
          </cell>
          <cell r="BY330">
            <v>-8774101.5199999996</v>
          </cell>
          <cell r="BZ330">
            <v>-644123.81000000006</v>
          </cell>
          <cell r="CA330">
            <v>-1582491.19</v>
          </cell>
          <cell r="CB330">
            <v>-1124996.6000000001</v>
          </cell>
          <cell r="CC330">
            <v>-5843841.7999999998</v>
          </cell>
          <cell r="CD330">
            <v>-4222087.72</v>
          </cell>
          <cell r="CE330">
            <v>-10144570.560000001</v>
          </cell>
          <cell r="CF330">
            <v>-1019938.61</v>
          </cell>
          <cell r="CG330">
            <v>-1477051.33</v>
          </cell>
          <cell r="CH330">
            <v>-957784.59</v>
          </cell>
          <cell r="CI330">
            <v>-1164167.01</v>
          </cell>
          <cell r="CJ330">
            <v>-772983.06</v>
          </cell>
          <cell r="CK330">
            <v>-1223484.8899999999</v>
          </cell>
          <cell r="CL330">
            <v>-881067.56</v>
          </cell>
          <cell r="CM330">
            <v>-871463.29</v>
          </cell>
          <cell r="CN330">
            <v>-1391844.08</v>
          </cell>
          <cell r="CO330">
            <v>-987263.79</v>
          </cell>
          <cell r="CP330">
            <v>-859307.72</v>
          </cell>
          <cell r="CQ330">
            <v>-862984.16</v>
          </cell>
          <cell r="CR330">
            <v>504477.53</v>
          </cell>
          <cell r="CS330">
            <v>-854471.77</v>
          </cell>
          <cell r="CT330">
            <v>-1812683.92</v>
          </cell>
          <cell r="CU330">
            <v>-58329.59</v>
          </cell>
          <cell r="CV330">
            <v>-989584.73</v>
          </cell>
          <cell r="CW330">
            <v>-1447414.56</v>
          </cell>
          <cell r="CX330">
            <v>-1696664.26</v>
          </cell>
          <cell r="CY330">
            <v>-1441299.23</v>
          </cell>
          <cell r="CZ330">
            <v>-1214294.28</v>
          </cell>
          <cell r="DA330">
            <v>-1385093.67</v>
          </cell>
          <cell r="DB330">
            <v>-1275151.07</v>
          </cell>
          <cell r="DC330">
            <v>-1319231.25</v>
          </cell>
          <cell r="DD330">
            <v>-1642177.95</v>
          </cell>
          <cell r="DE330">
            <v>-255821.76</v>
          </cell>
          <cell r="DF330">
            <v>-1374541.18</v>
          </cell>
          <cell r="DG330">
            <v>-3364277.43</v>
          </cell>
          <cell r="DH330">
            <v>-17405551.369999997</v>
          </cell>
        </row>
        <row r="331">
          <cell r="A331" t="str">
            <v>6799105</v>
          </cell>
          <cell r="B331" t="str">
            <v>6799105</v>
          </cell>
          <cell r="C331" t="str">
            <v>Fleet Chgs BalSht</v>
          </cell>
          <cell r="D331">
            <v>-93099.48</v>
          </cell>
          <cell r="E331">
            <v>-86697.15</v>
          </cell>
          <cell r="F331">
            <v>-89549.77</v>
          </cell>
          <cell r="G331">
            <v>-81877.279999999999</v>
          </cell>
          <cell r="H331">
            <v>-95010.46</v>
          </cell>
          <cell r="I331">
            <v>-94123.35</v>
          </cell>
          <cell r="J331">
            <v>-90303.84</v>
          </cell>
          <cell r="K331">
            <v>-101806.5</v>
          </cell>
          <cell r="L331">
            <v>-99852.32</v>
          </cell>
          <cell r="M331">
            <v>-102109.15</v>
          </cell>
          <cell r="N331">
            <v>-104857.76</v>
          </cell>
          <cell r="O331">
            <v>-100830.53</v>
          </cell>
          <cell r="P331">
            <v>-73915.520000000004</v>
          </cell>
          <cell r="Q331">
            <v>-70886.559999999998</v>
          </cell>
          <cell r="R331">
            <v>-74762.539999999994</v>
          </cell>
          <cell r="S331">
            <v>-79305.210000000006</v>
          </cell>
          <cell r="T331">
            <v>-86804.7</v>
          </cell>
          <cell r="U331">
            <v>-86916.88</v>
          </cell>
          <cell r="V331">
            <v>-82359.520000000004</v>
          </cell>
          <cell r="W331">
            <v>-78171.78</v>
          </cell>
          <cell r="X331">
            <v>-75433.259999999995</v>
          </cell>
          <cell r="Y331">
            <v>-66544.679999999993</v>
          </cell>
          <cell r="Z331">
            <v>-103763.11</v>
          </cell>
          <cell r="AA331">
            <v>-104546.86</v>
          </cell>
          <cell r="AB331">
            <v>-73401.539999999994</v>
          </cell>
          <cell r="AC331">
            <v>-105318.08</v>
          </cell>
          <cell r="AD331">
            <v>-109976.79</v>
          </cell>
          <cell r="AE331">
            <v>-114235.31</v>
          </cell>
          <cell r="AF331">
            <v>-106843.64</v>
          </cell>
          <cell r="AG331">
            <v>-129898.87</v>
          </cell>
          <cell r="AH331">
            <v>-92375.32</v>
          </cell>
          <cell r="AI331">
            <v>-140813.76999999999</v>
          </cell>
          <cell r="AJ331">
            <v>-104255.26</v>
          </cell>
          <cell r="AK331">
            <v>-108122.77</v>
          </cell>
          <cell r="AL331">
            <v>-117340.27</v>
          </cell>
          <cell r="AM331">
            <v>-152442.82</v>
          </cell>
          <cell r="AN331">
            <v>-53335.29</v>
          </cell>
          <cell r="AO331">
            <v>-64896</v>
          </cell>
          <cell r="AP331">
            <v>-251247</v>
          </cell>
          <cell r="AQ331">
            <v>-128804.96</v>
          </cell>
          <cell r="AR331">
            <v>-125329.37</v>
          </cell>
          <cell r="AS331">
            <v>-136421.04</v>
          </cell>
          <cell r="AT331">
            <v>-123907.31</v>
          </cell>
          <cell r="AU331">
            <v>-135357.22</v>
          </cell>
          <cell r="AV331">
            <v>-137457.5</v>
          </cell>
          <cell r="AW331">
            <v>-134578.29</v>
          </cell>
          <cell r="AX331">
            <v>-142395.46</v>
          </cell>
          <cell r="AY331">
            <v>-142462.5</v>
          </cell>
          <cell r="AZ331">
            <v>-122680.34</v>
          </cell>
          <cell r="BA331">
            <v>-157136.6</v>
          </cell>
          <cell r="BB331">
            <v>-144678.45000000001</v>
          </cell>
          <cell r="BC331">
            <v>-144910.85</v>
          </cell>
          <cell r="BD331">
            <v>-167265.69</v>
          </cell>
          <cell r="BE331">
            <v>-145218.85999999999</v>
          </cell>
          <cell r="BF331">
            <v>-184857.88</v>
          </cell>
          <cell r="BG331">
            <v>-196041.13</v>
          </cell>
          <cell r="BH331">
            <v>-165184.51999999999</v>
          </cell>
          <cell r="BI331">
            <v>-205841.28</v>
          </cell>
          <cell r="BJ331">
            <v>-194902.24</v>
          </cell>
          <cell r="BK331">
            <v>-220140.94</v>
          </cell>
          <cell r="BL331">
            <v>-158427.03</v>
          </cell>
          <cell r="BM331">
            <v>-184632.07</v>
          </cell>
          <cell r="BN331">
            <v>-169300.81</v>
          </cell>
          <cell r="BO331">
            <v>-179693.58</v>
          </cell>
          <cell r="BP331">
            <v>-174235.49</v>
          </cell>
          <cell r="BQ331">
            <v>-192232.52</v>
          </cell>
          <cell r="BR331">
            <v>-191963.02</v>
          </cell>
          <cell r="BS331">
            <v>-180327.85</v>
          </cell>
          <cell r="BT331">
            <v>-165418.01</v>
          </cell>
          <cell r="BU331">
            <v>-193596.05</v>
          </cell>
          <cell r="BV331">
            <v>-184015.86</v>
          </cell>
          <cell r="BW331">
            <v>-214378.61</v>
          </cell>
          <cell r="BX331">
            <v>-155824.56</v>
          </cell>
          <cell r="BY331">
            <v>-175927.54</v>
          </cell>
          <cell r="BZ331">
            <v>-163386.82</v>
          </cell>
          <cell r="CA331">
            <v>-172717.85</v>
          </cell>
          <cell r="CB331">
            <v>-152643.1</v>
          </cell>
          <cell r="CC331">
            <v>-159767.65</v>
          </cell>
          <cell r="CD331">
            <v>-188637.28</v>
          </cell>
          <cell r="CE331">
            <v>-180992.77</v>
          </cell>
          <cell r="CF331">
            <v>-183345.4</v>
          </cell>
          <cell r="CG331">
            <v>-191204.64</v>
          </cell>
          <cell r="CH331">
            <v>-190762.13</v>
          </cell>
          <cell r="CI331">
            <v>-210948.33</v>
          </cell>
          <cell r="CJ331">
            <v>-120239.18</v>
          </cell>
          <cell r="CK331">
            <v>-152623.47</v>
          </cell>
          <cell r="CL331">
            <v>-137221.20000000001</v>
          </cell>
          <cell r="CM331">
            <v>-166256.51999999999</v>
          </cell>
          <cell r="CN331">
            <v>-146169.17000000001</v>
          </cell>
          <cell r="CO331">
            <v>-173060.12</v>
          </cell>
          <cell r="CP331">
            <v>-169948.54</v>
          </cell>
          <cell r="CQ331">
            <v>-174850.36</v>
          </cell>
          <cell r="CR331">
            <v>-146566.65</v>
          </cell>
          <cell r="CS331">
            <v>-181822.82</v>
          </cell>
          <cell r="CT331">
            <v>-156461.99</v>
          </cell>
          <cell r="CU331">
            <v>-159427.63</v>
          </cell>
          <cell r="CV331">
            <v>-185583.45</v>
          </cell>
          <cell r="CW331">
            <v>-199886.91</v>
          </cell>
          <cell r="CX331">
            <v>-209218.82</v>
          </cell>
          <cell r="CY331">
            <v>-266968.24</v>
          </cell>
          <cell r="CZ331">
            <v>-191795.92</v>
          </cell>
          <cell r="DA331">
            <v>-249895.83</v>
          </cell>
          <cell r="DB331">
            <v>-260723.41</v>
          </cell>
          <cell r="DC331">
            <v>-260813.39</v>
          </cell>
          <cell r="DD331">
            <v>-241950.27</v>
          </cell>
          <cell r="DE331">
            <v>-219220.08</v>
          </cell>
          <cell r="DF331">
            <v>-257777.64</v>
          </cell>
          <cell r="DG331">
            <v>-229538.28</v>
          </cell>
          <cell r="DH331">
            <v>-2773372.2399999998</v>
          </cell>
        </row>
        <row r="332">
          <cell r="A332" t="str">
            <v>6799107</v>
          </cell>
          <cell r="B332" t="str">
            <v>6799107</v>
          </cell>
          <cell r="C332" t="str">
            <v>Stores Clrg BalSht</v>
          </cell>
          <cell r="D332">
            <v>-22109.05</v>
          </cell>
          <cell r="E332">
            <v>-19411.580000000002</v>
          </cell>
          <cell r="F332">
            <v>-20349.27</v>
          </cell>
          <cell r="G332">
            <v>-17766.98</v>
          </cell>
          <cell r="H332">
            <v>-19915.509999999998</v>
          </cell>
          <cell r="I332">
            <v>-20375.66</v>
          </cell>
          <cell r="J332">
            <v>-11820.04</v>
          </cell>
          <cell r="K332">
            <v>-8311.02</v>
          </cell>
          <cell r="L332">
            <v>-30187.3</v>
          </cell>
          <cell r="M332">
            <v>-29387.31</v>
          </cell>
          <cell r="N332">
            <v>-2403.0500000000002</v>
          </cell>
          <cell r="O332">
            <v>-20049.77</v>
          </cell>
          <cell r="P332">
            <v>-28443.27</v>
          </cell>
          <cell r="Q332">
            <v>-15099.03</v>
          </cell>
          <cell r="R332">
            <v>-34822.660000000003</v>
          </cell>
          <cell r="S332">
            <v>-32518.83</v>
          </cell>
          <cell r="T332">
            <v>-35081.43</v>
          </cell>
          <cell r="U332">
            <v>-23527.34</v>
          </cell>
          <cell r="V332">
            <v>-18593.88</v>
          </cell>
          <cell r="W332">
            <v>-24927.35</v>
          </cell>
          <cell r="X332">
            <v>-27309.24</v>
          </cell>
          <cell r="Y332">
            <v>-37046.449999999997</v>
          </cell>
          <cell r="Z332">
            <v>-22864.53</v>
          </cell>
          <cell r="AA332">
            <v>-114153.45</v>
          </cell>
          <cell r="AB332">
            <v>-14777.14</v>
          </cell>
          <cell r="AC332">
            <v>-17738.509999999998</v>
          </cell>
          <cell r="AD332">
            <v>-20849.060000000001</v>
          </cell>
          <cell r="AE332">
            <v>-21519.57</v>
          </cell>
          <cell r="AF332">
            <v>-23882.87</v>
          </cell>
          <cell r="AG332">
            <v>-20138.689999999999</v>
          </cell>
          <cell r="AH332">
            <v>-21970.93</v>
          </cell>
          <cell r="AI332">
            <v>-25698.639999999999</v>
          </cell>
          <cell r="AJ332">
            <v>-22827.439999999999</v>
          </cell>
          <cell r="AK332">
            <v>-15812.26</v>
          </cell>
          <cell r="AL332">
            <v>-25075.279999999999</v>
          </cell>
          <cell r="AM332">
            <v>-69892.72</v>
          </cell>
          <cell r="AN332">
            <v>-24611.279999999999</v>
          </cell>
          <cell r="AO332">
            <v>-19911.18</v>
          </cell>
          <cell r="AP332">
            <v>-21927.64</v>
          </cell>
          <cell r="AQ332">
            <v>-19332.439999999999</v>
          </cell>
          <cell r="AR332">
            <v>-26803.01</v>
          </cell>
          <cell r="AS332">
            <v>-21594.47</v>
          </cell>
          <cell r="AT332">
            <v>-22277.14</v>
          </cell>
          <cell r="AU332">
            <v>-37242.019999999997</v>
          </cell>
          <cell r="AV332">
            <v>-40103.08</v>
          </cell>
          <cell r="AW332">
            <v>-60949.67</v>
          </cell>
          <cell r="AX332">
            <v>-53656.36</v>
          </cell>
          <cell r="AY332">
            <v>-100675.93</v>
          </cell>
          <cell r="AZ332">
            <v>-107903.33</v>
          </cell>
          <cell r="BA332">
            <v>-36878.57</v>
          </cell>
          <cell r="BB332">
            <v>-78699.38</v>
          </cell>
          <cell r="BC332">
            <v>-36409.660000000003</v>
          </cell>
          <cell r="BD332">
            <v>-53988.24</v>
          </cell>
          <cell r="BE332">
            <v>-26640.58</v>
          </cell>
          <cell r="BF332">
            <v>-64779.59</v>
          </cell>
          <cell r="BG332">
            <v>-54345.68</v>
          </cell>
          <cell r="BH332">
            <v>-62764.01</v>
          </cell>
          <cell r="BI332">
            <v>-79079.77</v>
          </cell>
          <cell r="BJ332">
            <v>-76243.83</v>
          </cell>
          <cell r="BK332">
            <v>-68519.62</v>
          </cell>
          <cell r="BL332">
            <v>-55990.02</v>
          </cell>
          <cell r="BM332">
            <v>-51656.639999999999</v>
          </cell>
          <cell r="BN332">
            <v>-81576.05</v>
          </cell>
          <cell r="BO332">
            <v>-86201.39</v>
          </cell>
          <cell r="BP332">
            <v>-62361.82</v>
          </cell>
          <cell r="BQ332">
            <v>-71031.03</v>
          </cell>
          <cell r="BR332">
            <v>-45012</v>
          </cell>
          <cell r="BS332">
            <v>-60433.01</v>
          </cell>
          <cell r="BT332">
            <v>-57178.53</v>
          </cell>
          <cell r="BU332">
            <v>-56404.86</v>
          </cell>
          <cell r="BV332">
            <v>-59661.23</v>
          </cell>
          <cell r="BW332">
            <v>-160080.35</v>
          </cell>
          <cell r="BX332">
            <v>-48363.4</v>
          </cell>
          <cell r="BY332">
            <v>-69311.539999999994</v>
          </cell>
          <cell r="BZ332">
            <v>-83944.03</v>
          </cell>
          <cell r="CA332">
            <v>-74034.460000000006</v>
          </cell>
          <cell r="CB332">
            <v>-26034.04</v>
          </cell>
          <cell r="CC332">
            <v>-22464.35</v>
          </cell>
          <cell r="CD332">
            <v>-31530.53</v>
          </cell>
          <cell r="CE332">
            <v>-29079.3</v>
          </cell>
          <cell r="CF332">
            <v>-39439.64</v>
          </cell>
          <cell r="CG332">
            <v>-33715.47</v>
          </cell>
          <cell r="CH332">
            <v>-167680.49</v>
          </cell>
          <cell r="CI332">
            <v>-45584.46</v>
          </cell>
          <cell r="CJ332">
            <v>-33131.980000000003</v>
          </cell>
          <cell r="CK332">
            <v>-57494.32</v>
          </cell>
          <cell r="CL332">
            <v>-95059.68</v>
          </cell>
          <cell r="CM332">
            <v>-57313.51</v>
          </cell>
          <cell r="CN332">
            <v>-35987.83</v>
          </cell>
          <cell r="CO332">
            <v>-53598.27</v>
          </cell>
          <cell r="CP332">
            <v>-84787.78</v>
          </cell>
          <cell r="CQ332">
            <v>-46793.58</v>
          </cell>
          <cell r="CR332">
            <v>-44240.69</v>
          </cell>
          <cell r="CS332">
            <v>-45877.45</v>
          </cell>
          <cell r="CT332">
            <v>-67319.16</v>
          </cell>
          <cell r="CU332">
            <v>-124197.03</v>
          </cell>
          <cell r="CV332">
            <v>-40388.959999999999</v>
          </cell>
          <cell r="CW332">
            <v>-49880.57</v>
          </cell>
          <cell r="CX332">
            <v>-53544.2</v>
          </cell>
          <cell r="CY332">
            <v>-50736.58</v>
          </cell>
          <cell r="CZ332">
            <v>-49494.15</v>
          </cell>
          <cell r="DA332">
            <v>-59425.33</v>
          </cell>
          <cell r="DB332">
            <v>-58634.81</v>
          </cell>
          <cell r="DC332">
            <v>-62932.23</v>
          </cell>
          <cell r="DD332">
            <v>-49747.55</v>
          </cell>
          <cell r="DE332">
            <v>-59442.59</v>
          </cell>
          <cell r="DF332">
            <v>-34818.47</v>
          </cell>
          <cell r="DG332">
            <v>-614751.68000000005</v>
          </cell>
          <cell r="DH332">
            <v>-1183797.1200000001</v>
          </cell>
        </row>
        <row r="333">
          <cell r="A333" t="str">
            <v>6799109</v>
          </cell>
          <cell r="B333" t="str">
            <v>6799109</v>
          </cell>
          <cell r="C333" t="str">
            <v>SupMgmt Chgs BalSht</v>
          </cell>
          <cell r="D333">
            <v>-189097.83</v>
          </cell>
          <cell r="E333">
            <v>-150164.35</v>
          </cell>
          <cell r="F333">
            <v>-182380.9</v>
          </cell>
          <cell r="G333">
            <v>-182805.08</v>
          </cell>
          <cell r="H333">
            <v>-188133.3</v>
          </cell>
          <cell r="I333">
            <v>-180890.01</v>
          </cell>
          <cell r="J333">
            <v>-166526.09</v>
          </cell>
          <cell r="K333">
            <v>-145859.63</v>
          </cell>
          <cell r="L333">
            <v>-146154.39000000001</v>
          </cell>
          <cell r="M333">
            <v>-162193.01999999999</v>
          </cell>
          <cell r="N333">
            <v>-145041.70000000001</v>
          </cell>
          <cell r="O333">
            <v>-172196.15</v>
          </cell>
          <cell r="P333">
            <v>-201381.9</v>
          </cell>
          <cell r="Q333">
            <v>-150726.82</v>
          </cell>
          <cell r="R333">
            <v>-239990.11</v>
          </cell>
          <cell r="S333">
            <v>-200344.31</v>
          </cell>
          <cell r="T333">
            <v>-185005.34</v>
          </cell>
          <cell r="U333">
            <v>-224038.61</v>
          </cell>
          <cell r="V333">
            <v>-232870.92</v>
          </cell>
          <cell r="W333">
            <v>-224199.89</v>
          </cell>
          <cell r="X333">
            <v>-188466.95</v>
          </cell>
          <cell r="Y333">
            <v>-289462.69</v>
          </cell>
          <cell r="Z333">
            <v>-206552.79</v>
          </cell>
          <cell r="AA333">
            <v>-216895.41</v>
          </cell>
          <cell r="AB333">
            <v>-227509.3</v>
          </cell>
          <cell r="AC333">
            <v>-264368.21000000002</v>
          </cell>
          <cell r="AD333">
            <v>-311859.99</v>
          </cell>
          <cell r="AE333">
            <v>-371221.26</v>
          </cell>
          <cell r="AF333">
            <v>-407311.98</v>
          </cell>
          <cell r="AG333">
            <v>-491263.27</v>
          </cell>
          <cell r="AH333">
            <v>-450455.11</v>
          </cell>
          <cell r="AI333">
            <v>-464700.49</v>
          </cell>
          <cell r="AJ333">
            <v>-505269.19</v>
          </cell>
          <cell r="AK333">
            <v>-563807.19999999995</v>
          </cell>
          <cell r="AL333">
            <v>-599144.25</v>
          </cell>
          <cell r="AM333">
            <v>-591991.98</v>
          </cell>
          <cell r="AN333">
            <v>-587807.35</v>
          </cell>
          <cell r="AO333">
            <v>-576494.93999999994</v>
          </cell>
          <cell r="AP333">
            <v>-628120.72</v>
          </cell>
          <cell r="AQ333">
            <v>-562442.42000000004</v>
          </cell>
          <cell r="AR333">
            <v>-626959.75</v>
          </cell>
          <cell r="AS333">
            <v>-599464.81000000006</v>
          </cell>
          <cell r="AT333">
            <v>-636941.96</v>
          </cell>
          <cell r="AU333">
            <v>-691048.21</v>
          </cell>
          <cell r="AV333">
            <v>-611567.79</v>
          </cell>
          <cell r="AW333">
            <v>-624217.66</v>
          </cell>
          <cell r="AX333">
            <v>-644764.4</v>
          </cell>
          <cell r="AY333">
            <v>-600223.14</v>
          </cell>
          <cell r="AZ333">
            <v>-654207.92000000004</v>
          </cell>
          <cell r="BA333">
            <v>-589355.72</v>
          </cell>
          <cell r="BB333">
            <v>-682261.66</v>
          </cell>
          <cell r="BC333">
            <v>-671939.57</v>
          </cell>
          <cell r="BD333">
            <v>-707296.55</v>
          </cell>
          <cell r="BE333">
            <v>-696847.65</v>
          </cell>
          <cell r="BF333">
            <v>-709588.03</v>
          </cell>
          <cell r="BG333">
            <v>-812876.61</v>
          </cell>
          <cell r="BH333">
            <v>-773893.34</v>
          </cell>
          <cell r="BI333">
            <v>-852288.11</v>
          </cell>
          <cell r="BJ333">
            <v>-748793.17</v>
          </cell>
          <cell r="BK333">
            <v>-771734.87</v>
          </cell>
          <cell r="BL333">
            <v>-911300.17</v>
          </cell>
          <cell r="BM333">
            <v>-772515.9</v>
          </cell>
          <cell r="BN333">
            <v>-845619.91</v>
          </cell>
          <cell r="BO333">
            <v>-855303.79</v>
          </cell>
          <cell r="BP333">
            <v>-912438.37</v>
          </cell>
          <cell r="BQ333">
            <v>-948328.3</v>
          </cell>
          <cell r="BR333">
            <v>-1104471.53</v>
          </cell>
          <cell r="BS333">
            <v>-956049</v>
          </cell>
          <cell r="BT333">
            <v>-916155.51</v>
          </cell>
          <cell r="BU333">
            <v>-1013841.58</v>
          </cell>
          <cell r="BV333">
            <v>-929448.75</v>
          </cell>
          <cell r="BW333">
            <v>-1074984.6299999999</v>
          </cell>
          <cell r="BX333">
            <v>-998300.33</v>
          </cell>
          <cell r="BY333">
            <v>-926750.44</v>
          </cell>
          <cell r="BZ333">
            <v>-1133508.74</v>
          </cell>
          <cell r="CA333">
            <v>-1016728.87</v>
          </cell>
          <cell r="CB333">
            <v>-1008968.35</v>
          </cell>
          <cell r="CC333">
            <v>-999823.06</v>
          </cell>
          <cell r="CD333">
            <v>-1178378.78</v>
          </cell>
          <cell r="CE333">
            <v>-1026901.8</v>
          </cell>
          <cell r="CF333">
            <v>-1038515.81</v>
          </cell>
          <cell r="CG333">
            <v>-1059831.6599999999</v>
          </cell>
          <cell r="CH333">
            <v>-961539.11</v>
          </cell>
          <cell r="CI333">
            <v>-1063472.6299999999</v>
          </cell>
          <cell r="CJ333">
            <v>-1070896.6299999999</v>
          </cell>
          <cell r="CK333">
            <v>-1009269.02</v>
          </cell>
          <cell r="CL333">
            <v>-1119582.06</v>
          </cell>
          <cell r="CM333">
            <v>-1132842.8899999999</v>
          </cell>
          <cell r="CN333">
            <v>-1046355.03</v>
          </cell>
          <cell r="CO333">
            <v>-983801.94</v>
          </cell>
          <cell r="CP333">
            <v>-1011858.99</v>
          </cell>
          <cell r="CQ333">
            <v>-1029450.42</v>
          </cell>
          <cell r="CR333">
            <v>-1010735.99</v>
          </cell>
          <cell r="CS333">
            <v>-1008930.28</v>
          </cell>
          <cell r="CT333">
            <v>-1143433.54</v>
          </cell>
          <cell r="CU333">
            <v>-1228958.7</v>
          </cell>
          <cell r="CV333">
            <v>-1036206.01</v>
          </cell>
          <cell r="CW333">
            <v>-1088146.79</v>
          </cell>
          <cell r="CX333">
            <v>-1268558.71</v>
          </cell>
          <cell r="CY333">
            <v>-1180696.22</v>
          </cell>
          <cell r="CZ333">
            <v>-1289257.8600000001</v>
          </cell>
          <cell r="DA333">
            <v>-1312907.48</v>
          </cell>
          <cell r="DB333">
            <v>-1358459.42</v>
          </cell>
          <cell r="DC333">
            <v>-1514698.91</v>
          </cell>
          <cell r="DD333">
            <v>-1307189.45</v>
          </cell>
          <cell r="DE333">
            <v>-1278132.1200000001</v>
          </cell>
          <cell r="DF333">
            <v>-1410022.44</v>
          </cell>
          <cell r="DG333">
            <v>-1508503.3</v>
          </cell>
          <cell r="DH333">
            <v>-15552778.709999999</v>
          </cell>
        </row>
        <row r="334">
          <cell r="A334" t="str">
            <v>6799200</v>
          </cell>
          <cell r="B334" t="str">
            <v>6799200</v>
          </cell>
          <cell r="C334" t="str">
            <v>TSI Cap to BalSht</v>
          </cell>
          <cell r="U334">
            <v>-2692.32</v>
          </cell>
          <cell r="V334">
            <v>-41029.07</v>
          </cell>
          <cell r="W334">
            <v>-22454.65</v>
          </cell>
          <cell r="X334">
            <v>0</v>
          </cell>
          <cell r="Y334">
            <v>-4841.5600000000004</v>
          </cell>
          <cell r="Z334">
            <v>-11322.94</v>
          </cell>
          <cell r="AA334">
            <v>-16696.18</v>
          </cell>
          <cell r="AB334">
            <v>-10044.06</v>
          </cell>
          <cell r="AC334">
            <v>-8007.07</v>
          </cell>
          <cell r="AD334">
            <v>-20510.61</v>
          </cell>
          <cell r="AE334">
            <v>-8858.57</v>
          </cell>
          <cell r="AF334">
            <v>-5304.18</v>
          </cell>
          <cell r="AG334">
            <v>-22000.57</v>
          </cell>
          <cell r="AH334">
            <v>-21356.69</v>
          </cell>
          <cell r="AI334">
            <v>-3157.7</v>
          </cell>
          <cell r="AJ334">
            <v>-2104.58</v>
          </cell>
          <cell r="AK334">
            <v>-6158.65</v>
          </cell>
          <cell r="AL334">
            <v>-7324.83</v>
          </cell>
          <cell r="AM334">
            <v>-7128.4</v>
          </cell>
          <cell r="AN334">
            <v>-3416.85</v>
          </cell>
          <cell r="AO334">
            <v>-6576.02</v>
          </cell>
          <cell r="AP334">
            <v>-2900.04</v>
          </cell>
          <cell r="AQ334">
            <v>-112.17</v>
          </cell>
          <cell r="AR334">
            <v>-10912.3</v>
          </cell>
          <cell r="AS334">
            <v>-4043.72</v>
          </cell>
          <cell r="AT334">
            <v>-5305.79</v>
          </cell>
          <cell r="AU334">
            <v>-4728.67</v>
          </cell>
          <cell r="AV334">
            <v>-14364.27</v>
          </cell>
          <cell r="AW334">
            <v>-16508.47</v>
          </cell>
          <cell r="AX334">
            <v>-8787.82</v>
          </cell>
          <cell r="AY334">
            <v>-11286.25</v>
          </cell>
          <cell r="AZ334">
            <v>-25831.16</v>
          </cell>
          <cell r="BA334">
            <v>-30008.63</v>
          </cell>
          <cell r="BB334">
            <v>-45293.87</v>
          </cell>
          <cell r="BC334">
            <v>-42111.41</v>
          </cell>
          <cell r="BD334">
            <v>-36318.32</v>
          </cell>
          <cell r="BE334">
            <v>-41362.68</v>
          </cell>
          <cell r="BF334">
            <v>-51961.25</v>
          </cell>
          <cell r="BG334">
            <v>-63976.21</v>
          </cell>
          <cell r="BH334">
            <v>-70044.23</v>
          </cell>
          <cell r="BI334">
            <v>-87887.76</v>
          </cell>
          <cell r="BJ334">
            <v>-90977.07</v>
          </cell>
          <cell r="BK334">
            <v>-148825.29999999999</v>
          </cell>
          <cell r="BL334">
            <v>-91991.86</v>
          </cell>
          <cell r="BM334">
            <v>-73523.990000000005</v>
          </cell>
          <cell r="BN334">
            <v>-65113.62</v>
          </cell>
          <cell r="BO334">
            <v>-67375.94</v>
          </cell>
          <cell r="BP334">
            <v>-70973.240000000005</v>
          </cell>
          <cell r="BQ334">
            <v>-61015.34</v>
          </cell>
          <cell r="BR334">
            <v>-61102.23</v>
          </cell>
          <cell r="BS334">
            <v>-67805.45</v>
          </cell>
          <cell r="BT334">
            <v>-73825.850000000006</v>
          </cell>
          <cell r="BU334">
            <v>-57799.55</v>
          </cell>
          <cell r="BV334">
            <v>-56142.5</v>
          </cell>
          <cell r="BW334">
            <v>-51836.24</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row>
        <row r="335">
          <cell r="A335" t="str">
            <v>6800010</v>
          </cell>
          <cell r="B335" t="str">
            <v>6800010</v>
          </cell>
          <cell r="C335" t="str">
            <v>Amtz-Utility Plant</v>
          </cell>
          <cell r="D335">
            <v>147191.46</v>
          </cell>
          <cell r="E335">
            <v>150189.5</v>
          </cell>
          <cell r="F335">
            <v>150194.57999999999</v>
          </cell>
          <cell r="G335">
            <v>150194.63</v>
          </cell>
          <cell r="H335">
            <v>150484.89000000001</v>
          </cell>
          <cell r="I335">
            <v>150486.68</v>
          </cell>
          <cell r="J335">
            <v>150488.16</v>
          </cell>
          <cell r="K335">
            <v>148336.57999999999</v>
          </cell>
          <cell r="L335">
            <v>154584.12</v>
          </cell>
          <cell r="M335">
            <v>154782.59</v>
          </cell>
          <cell r="N335">
            <v>154803.57999999999</v>
          </cell>
          <cell r="O335">
            <v>154804.53</v>
          </cell>
          <cell r="P335">
            <v>154806.53</v>
          </cell>
          <cell r="Q335">
            <v>154806.63</v>
          </cell>
          <cell r="R335">
            <v>134962.85</v>
          </cell>
          <cell r="S335">
            <v>135733.29</v>
          </cell>
          <cell r="T335">
            <v>147032.15</v>
          </cell>
          <cell r="U335">
            <v>146988.38</v>
          </cell>
          <cell r="V335">
            <v>147053.41</v>
          </cell>
          <cell r="W335">
            <v>148150.35999999999</v>
          </cell>
          <cell r="X335">
            <v>148668.26999999999</v>
          </cell>
          <cell r="Y335">
            <v>149307.07999999999</v>
          </cell>
          <cell r="Z335">
            <v>148928.76</v>
          </cell>
          <cell r="AA335">
            <v>149025.72</v>
          </cell>
          <cell r="AB335">
            <v>149157.06</v>
          </cell>
          <cell r="AC335">
            <v>149157.44</v>
          </cell>
          <cell r="AD335">
            <v>149159.98000000001</v>
          </cell>
          <cell r="AE335">
            <v>149093.32999999999</v>
          </cell>
          <cell r="AF335">
            <v>149095.4</v>
          </cell>
          <cell r="AG335">
            <v>149095.99</v>
          </cell>
          <cell r="AH335">
            <v>151055.9</v>
          </cell>
          <cell r="AI335">
            <v>158659.17000000001</v>
          </cell>
          <cell r="AJ335">
            <v>158665.84</v>
          </cell>
          <cell r="AK335">
            <v>158827.91</v>
          </cell>
          <cell r="AL335">
            <v>160395.59</v>
          </cell>
          <cell r="AM335">
            <v>160906.1</v>
          </cell>
          <cell r="AN335">
            <v>155958.22</v>
          </cell>
          <cell r="AO335">
            <v>155958.41</v>
          </cell>
          <cell r="AP335">
            <v>155959.65</v>
          </cell>
          <cell r="AQ335">
            <v>158368.13</v>
          </cell>
          <cell r="AR335">
            <v>157782.47</v>
          </cell>
          <cell r="AS335">
            <v>157809.01999999999</v>
          </cell>
          <cell r="AT335">
            <v>158117.35999999999</v>
          </cell>
          <cell r="AU335">
            <v>158131.23000000001</v>
          </cell>
          <cell r="AV335">
            <v>158476.85</v>
          </cell>
          <cell r="AW335">
            <v>158503.75</v>
          </cell>
          <cell r="AX335">
            <v>158595.5</v>
          </cell>
          <cell r="AY335">
            <v>158595.15</v>
          </cell>
          <cell r="AZ335">
            <v>160184.29999999999</v>
          </cell>
          <cell r="BA335">
            <v>160187.41</v>
          </cell>
          <cell r="BB335">
            <v>160210.32999999999</v>
          </cell>
          <cell r="BC335">
            <v>161347.1</v>
          </cell>
          <cell r="BD335">
            <v>161706.65</v>
          </cell>
          <cell r="BE335">
            <v>161723.91</v>
          </cell>
          <cell r="BF335">
            <v>161648.19</v>
          </cell>
          <cell r="BG335">
            <v>163599.94</v>
          </cell>
          <cell r="BH335">
            <v>163761.54</v>
          </cell>
          <cell r="BI335">
            <v>163948.59</v>
          </cell>
          <cell r="BJ335">
            <v>168391.29</v>
          </cell>
          <cell r="BK335">
            <v>168590.2</v>
          </cell>
          <cell r="BL335">
            <v>175750.58</v>
          </cell>
          <cell r="BM335">
            <v>176244.21</v>
          </cell>
          <cell r="BN335">
            <v>176111.99</v>
          </cell>
          <cell r="BO335">
            <v>176101.6</v>
          </cell>
          <cell r="BP335">
            <v>176152.95</v>
          </cell>
          <cell r="BQ335">
            <v>172556.62</v>
          </cell>
          <cell r="BR335">
            <v>172563.25</v>
          </cell>
          <cell r="BS335">
            <v>172487.48</v>
          </cell>
          <cell r="BT335">
            <v>172554.12</v>
          </cell>
          <cell r="BU335">
            <v>178817.54</v>
          </cell>
          <cell r="BV335">
            <v>179457.42</v>
          </cell>
          <cell r="BW335">
            <v>180492.46</v>
          </cell>
          <cell r="BX335">
            <v>186368.99</v>
          </cell>
          <cell r="BY335">
            <v>184231.94</v>
          </cell>
          <cell r="BZ335">
            <v>185353.5</v>
          </cell>
          <cell r="CA335">
            <v>184520.25</v>
          </cell>
          <cell r="CB335">
            <v>184391.25</v>
          </cell>
          <cell r="CC335">
            <v>184507.58</v>
          </cell>
          <cell r="CD335">
            <v>185260.31</v>
          </cell>
          <cell r="CE335">
            <v>185376.15</v>
          </cell>
          <cell r="CF335">
            <v>183665.84</v>
          </cell>
          <cell r="CG335">
            <v>183812.57</v>
          </cell>
          <cell r="CH335">
            <v>274286.36</v>
          </cell>
          <cell r="CI335">
            <v>274706.28999999998</v>
          </cell>
          <cell r="CJ335">
            <v>270651.27</v>
          </cell>
          <cell r="CK335">
            <v>270886.17</v>
          </cell>
          <cell r="CL335">
            <v>271218.26</v>
          </cell>
          <cell r="CM335">
            <v>285406.7</v>
          </cell>
          <cell r="CN335">
            <v>301060.37</v>
          </cell>
          <cell r="CO335">
            <v>302455.27</v>
          </cell>
          <cell r="CP335">
            <v>303895.84999999998</v>
          </cell>
          <cell r="CQ335">
            <v>305319.11</v>
          </cell>
          <cell r="CR335">
            <v>305870.89</v>
          </cell>
          <cell r="CS335">
            <v>306026.75</v>
          </cell>
          <cell r="CT335">
            <v>306171.98</v>
          </cell>
          <cell r="CU335">
            <v>306369.34999999998</v>
          </cell>
          <cell r="CV335">
            <v>306480.17</v>
          </cell>
          <cell r="CW335">
            <v>306715.53999999998</v>
          </cell>
          <cell r="CX335">
            <v>339061.6</v>
          </cell>
          <cell r="CY335">
            <v>339744.77</v>
          </cell>
          <cell r="CZ335">
            <v>339862.64</v>
          </cell>
          <cell r="DA335">
            <v>340197.19</v>
          </cell>
          <cell r="DB335">
            <v>339366.82</v>
          </cell>
          <cell r="DC335">
            <v>339490.01</v>
          </cell>
          <cell r="DD335">
            <v>339472.62</v>
          </cell>
          <cell r="DE335">
            <v>339739.91</v>
          </cell>
          <cell r="DF335">
            <v>339859.61</v>
          </cell>
          <cell r="DG335">
            <v>343378.44</v>
          </cell>
          <cell r="DH335">
            <v>4013369.3200000003</v>
          </cell>
        </row>
        <row r="336">
          <cell r="A336" t="str">
            <v>6800040</v>
          </cell>
          <cell r="B336" t="str">
            <v>6800040</v>
          </cell>
          <cell r="C336" t="str">
            <v>Amtz-Acqu Adj ATL</v>
          </cell>
          <cell r="D336">
            <v>12428.82</v>
          </cell>
          <cell r="E336">
            <v>12428.82</v>
          </cell>
          <cell r="F336">
            <v>12428.82</v>
          </cell>
          <cell r="G336">
            <v>12428.82</v>
          </cell>
          <cell r="H336">
            <v>12428.82</v>
          </cell>
          <cell r="I336">
            <v>12428.82</v>
          </cell>
          <cell r="J336">
            <v>12428.82</v>
          </cell>
          <cell r="K336">
            <v>12428.82</v>
          </cell>
          <cell r="L336">
            <v>12428.82</v>
          </cell>
          <cell r="M336">
            <v>12428.82</v>
          </cell>
          <cell r="N336">
            <v>12428.82</v>
          </cell>
          <cell r="O336">
            <v>12428.82</v>
          </cell>
          <cell r="P336">
            <v>12428.82</v>
          </cell>
          <cell r="Q336">
            <v>12428.82</v>
          </cell>
          <cell r="R336">
            <v>12428.82</v>
          </cell>
          <cell r="S336">
            <v>12428.82</v>
          </cell>
          <cell r="T336">
            <v>12428.82</v>
          </cell>
          <cell r="U336">
            <v>12428.82</v>
          </cell>
          <cell r="V336">
            <v>12428.82</v>
          </cell>
          <cell r="W336">
            <v>12428.82</v>
          </cell>
          <cell r="X336">
            <v>12428.82</v>
          </cell>
          <cell r="Y336">
            <v>12428.82</v>
          </cell>
          <cell r="Z336">
            <v>12428.82</v>
          </cell>
          <cell r="AA336">
            <v>12428.82</v>
          </cell>
          <cell r="AB336">
            <v>12428.82</v>
          </cell>
          <cell r="AC336">
            <v>12428.82</v>
          </cell>
          <cell r="AD336">
            <v>12428.82</v>
          </cell>
          <cell r="AE336">
            <v>12428.82</v>
          </cell>
          <cell r="AF336">
            <v>12428.82</v>
          </cell>
          <cell r="AG336">
            <v>12428.82</v>
          </cell>
          <cell r="AH336">
            <v>12428.82</v>
          </cell>
          <cell r="AI336">
            <v>12428.82</v>
          </cell>
          <cell r="AJ336">
            <v>12428.82</v>
          </cell>
          <cell r="AK336">
            <v>12428.82</v>
          </cell>
          <cell r="AL336">
            <v>12428.82</v>
          </cell>
          <cell r="AM336">
            <v>12428.82</v>
          </cell>
          <cell r="AN336">
            <v>12428.82</v>
          </cell>
          <cell r="AO336">
            <v>12428.82</v>
          </cell>
          <cell r="AP336">
            <v>12428.82</v>
          </cell>
          <cell r="AQ336">
            <v>12428.82</v>
          </cell>
          <cell r="AR336">
            <v>12428.82</v>
          </cell>
          <cell r="AS336">
            <v>12428.82</v>
          </cell>
          <cell r="AT336">
            <v>12428.82</v>
          </cell>
          <cell r="AU336">
            <v>12428.82</v>
          </cell>
          <cell r="AV336">
            <v>12428.82</v>
          </cell>
          <cell r="AW336">
            <v>12428.82</v>
          </cell>
          <cell r="AX336">
            <v>12428.82</v>
          </cell>
          <cell r="AY336">
            <v>12428.82</v>
          </cell>
          <cell r="AZ336">
            <v>12428.82</v>
          </cell>
          <cell r="BA336">
            <v>12428.82</v>
          </cell>
          <cell r="BB336">
            <v>12428.82</v>
          </cell>
          <cell r="BC336">
            <v>12428.82</v>
          </cell>
          <cell r="BD336">
            <v>12428.82</v>
          </cell>
          <cell r="BE336">
            <v>12428.82</v>
          </cell>
          <cell r="BF336">
            <v>12428.82</v>
          </cell>
          <cell r="BG336">
            <v>12428.82</v>
          </cell>
          <cell r="BH336">
            <v>12428.82</v>
          </cell>
          <cell r="BI336">
            <v>12428.82</v>
          </cell>
          <cell r="BJ336">
            <v>12428.82</v>
          </cell>
          <cell r="BK336">
            <v>12428.82</v>
          </cell>
          <cell r="BL336">
            <v>12428.82</v>
          </cell>
          <cell r="BM336">
            <v>12428.82</v>
          </cell>
          <cell r="BN336">
            <v>12428.82</v>
          </cell>
          <cell r="BO336">
            <v>12428.82</v>
          </cell>
          <cell r="BP336">
            <v>12428.82</v>
          </cell>
          <cell r="BQ336">
            <v>12428.82</v>
          </cell>
          <cell r="BR336">
            <v>12428.82</v>
          </cell>
          <cell r="BS336">
            <v>12428.82</v>
          </cell>
          <cell r="BT336">
            <v>12428.82</v>
          </cell>
          <cell r="BU336">
            <v>12428.82</v>
          </cell>
          <cell r="BV336">
            <v>12428.82</v>
          </cell>
          <cell r="BW336">
            <v>12428.82</v>
          </cell>
          <cell r="BX336">
            <v>12428.82</v>
          </cell>
          <cell r="BY336">
            <v>12428.82</v>
          </cell>
          <cell r="BZ336">
            <v>12428.82</v>
          </cell>
          <cell r="CA336">
            <v>12428.82</v>
          </cell>
          <cell r="CB336">
            <v>12428.82</v>
          </cell>
          <cell r="CC336">
            <v>12428.82</v>
          </cell>
          <cell r="CD336">
            <v>12428.82</v>
          </cell>
          <cell r="CE336">
            <v>12428.82</v>
          </cell>
          <cell r="CF336">
            <v>12428.82</v>
          </cell>
          <cell r="CG336">
            <v>5949.73</v>
          </cell>
          <cell r="CH336">
            <v>5949.73</v>
          </cell>
          <cell r="CI336">
            <v>5949.73</v>
          </cell>
          <cell r="CJ336">
            <v>5949.73</v>
          </cell>
          <cell r="CK336">
            <v>5949.73</v>
          </cell>
          <cell r="CL336">
            <v>5949.73</v>
          </cell>
          <cell r="CM336">
            <v>5949.73</v>
          </cell>
          <cell r="CN336">
            <v>5949.73</v>
          </cell>
          <cell r="CO336">
            <v>5949.73</v>
          </cell>
          <cell r="CP336">
            <v>5949.73</v>
          </cell>
          <cell r="CQ336">
            <v>-687.37</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row>
        <row r="337">
          <cell r="A337" t="str">
            <v>6800050</v>
          </cell>
          <cell r="B337" t="str">
            <v>6800050</v>
          </cell>
          <cell r="C337" t="str">
            <v>Amtz-Environ Remedia</v>
          </cell>
          <cell r="D337">
            <v>53333</v>
          </cell>
          <cell r="E337">
            <v>53333</v>
          </cell>
          <cell r="F337">
            <v>53333</v>
          </cell>
          <cell r="G337">
            <v>53333</v>
          </cell>
          <cell r="H337">
            <v>53333</v>
          </cell>
          <cell r="I337">
            <v>53333</v>
          </cell>
          <cell r="J337">
            <v>53333</v>
          </cell>
          <cell r="K337">
            <v>53333</v>
          </cell>
          <cell r="L337">
            <v>53333</v>
          </cell>
          <cell r="M337">
            <v>53333</v>
          </cell>
          <cell r="N337">
            <v>53333</v>
          </cell>
          <cell r="O337">
            <v>53333</v>
          </cell>
          <cell r="P337">
            <v>53333</v>
          </cell>
          <cell r="Q337">
            <v>53333</v>
          </cell>
          <cell r="R337">
            <v>53333</v>
          </cell>
          <cell r="S337">
            <v>53333</v>
          </cell>
          <cell r="T337">
            <v>53333</v>
          </cell>
          <cell r="U337">
            <v>53333</v>
          </cell>
          <cell r="V337">
            <v>53333</v>
          </cell>
          <cell r="W337">
            <v>53333</v>
          </cell>
          <cell r="X337">
            <v>53333</v>
          </cell>
          <cell r="Y337">
            <v>53333</v>
          </cell>
          <cell r="Z337">
            <v>53333</v>
          </cell>
          <cell r="AA337">
            <v>53333</v>
          </cell>
          <cell r="AB337">
            <v>53333</v>
          </cell>
          <cell r="AC337">
            <v>53333</v>
          </cell>
          <cell r="AD337">
            <v>53333</v>
          </cell>
          <cell r="AE337">
            <v>53333</v>
          </cell>
          <cell r="AF337">
            <v>53333</v>
          </cell>
          <cell r="AG337">
            <v>53333</v>
          </cell>
          <cell r="AH337">
            <v>53333</v>
          </cell>
          <cell r="AI337">
            <v>53333</v>
          </cell>
          <cell r="AJ337">
            <v>53333</v>
          </cell>
          <cell r="AK337">
            <v>53333</v>
          </cell>
          <cell r="AL337">
            <v>53333</v>
          </cell>
          <cell r="AM337">
            <v>16053333</v>
          </cell>
          <cell r="AN337">
            <v>470000</v>
          </cell>
          <cell r="AO337">
            <v>470000</v>
          </cell>
          <cell r="AP337">
            <v>470000</v>
          </cell>
          <cell r="AQ337">
            <v>470000</v>
          </cell>
          <cell r="AR337">
            <v>470000</v>
          </cell>
          <cell r="AS337">
            <v>470000</v>
          </cell>
          <cell r="AT337">
            <v>470000</v>
          </cell>
          <cell r="AU337">
            <v>470000</v>
          </cell>
          <cell r="AV337">
            <v>470000</v>
          </cell>
          <cell r="AW337">
            <v>470000</v>
          </cell>
          <cell r="AX337">
            <v>470000</v>
          </cell>
          <cell r="AY337">
            <v>-755743</v>
          </cell>
          <cell r="AZ337">
            <v>0</v>
          </cell>
          <cell r="BA337">
            <v>583333.34</v>
          </cell>
          <cell r="BB337">
            <v>2916666.68</v>
          </cell>
          <cell r="BC337">
            <v>0</v>
          </cell>
          <cell r="BD337">
            <v>0</v>
          </cell>
          <cell r="BE337">
            <v>0</v>
          </cell>
          <cell r="BF337">
            <v>0</v>
          </cell>
          <cell r="BG337">
            <v>0</v>
          </cell>
          <cell r="BH337">
            <v>6517958</v>
          </cell>
          <cell r="BI337">
            <v>463895</v>
          </cell>
          <cell r="BJ337">
            <v>463895</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83333.33</v>
          </cell>
          <cell r="CK337">
            <v>83333.33</v>
          </cell>
          <cell r="CL337">
            <v>83333.33</v>
          </cell>
          <cell r="CM337">
            <v>83333.33</v>
          </cell>
          <cell r="CN337">
            <v>83333.33</v>
          </cell>
          <cell r="CO337">
            <v>83333.33</v>
          </cell>
          <cell r="CP337">
            <v>83333.33</v>
          </cell>
          <cell r="CQ337">
            <v>83333.33</v>
          </cell>
          <cell r="CR337">
            <v>83333.33</v>
          </cell>
          <cell r="CS337">
            <v>83333.33</v>
          </cell>
          <cell r="CT337">
            <v>83333.33</v>
          </cell>
          <cell r="CU337">
            <v>83333.33</v>
          </cell>
          <cell r="CV337">
            <v>83333.33</v>
          </cell>
          <cell r="CW337">
            <v>83333.33</v>
          </cell>
          <cell r="CX337">
            <v>83333.33</v>
          </cell>
          <cell r="CY337">
            <v>83333.33</v>
          </cell>
          <cell r="CZ337">
            <v>83333.33</v>
          </cell>
          <cell r="DA337">
            <v>83333.33</v>
          </cell>
          <cell r="DB337">
            <v>83333.33</v>
          </cell>
          <cell r="DC337">
            <v>83333.33</v>
          </cell>
          <cell r="DD337">
            <v>83333.33</v>
          </cell>
          <cell r="DE337">
            <v>83333.33</v>
          </cell>
          <cell r="DF337">
            <v>83333.33</v>
          </cell>
          <cell r="DG337">
            <v>83333.33</v>
          </cell>
          <cell r="DH337">
            <v>999999.95999999985</v>
          </cell>
        </row>
        <row r="338">
          <cell r="A338" t="str">
            <v>6800100</v>
          </cell>
          <cell r="B338" t="str">
            <v>6800100</v>
          </cell>
          <cell r="C338" t="str">
            <v>Amtz-Regulatory CRs</v>
          </cell>
          <cell r="BU338">
            <v>35086.79</v>
          </cell>
          <cell r="BV338">
            <v>-35086.79</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row>
        <row r="339">
          <cell r="A339" t="str">
            <v>6809000</v>
          </cell>
          <cell r="B339" t="str">
            <v>6809000</v>
          </cell>
          <cell r="C339" t="str">
            <v>Amtz to BalSheet</v>
          </cell>
          <cell r="BU339">
            <v>-35086.79</v>
          </cell>
          <cell r="BV339">
            <v>35086.79</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row>
        <row r="340">
          <cell r="A340" t="str">
            <v>6810010</v>
          </cell>
          <cell r="B340" t="str">
            <v>6810010</v>
          </cell>
          <cell r="C340" t="str">
            <v>Depr-Utility Plant</v>
          </cell>
          <cell r="D340">
            <v>4224895.26</v>
          </cell>
          <cell r="E340">
            <v>4185779.14</v>
          </cell>
          <cell r="F340">
            <v>4191196.42</v>
          </cell>
          <cell r="G340">
            <v>4196298.99</v>
          </cell>
          <cell r="H340">
            <v>4212094.55</v>
          </cell>
          <cell r="I340">
            <v>4222655.87</v>
          </cell>
          <cell r="J340">
            <v>4232059.4800000004</v>
          </cell>
          <cell r="K340">
            <v>4262661.43</v>
          </cell>
          <cell r="L340">
            <v>4277694.4000000004</v>
          </cell>
          <cell r="M340">
            <v>4291526.7300000004</v>
          </cell>
          <cell r="N340">
            <v>4318799.1100000003</v>
          </cell>
          <cell r="O340">
            <v>4336471.91</v>
          </cell>
          <cell r="P340">
            <v>4430283.71</v>
          </cell>
          <cell r="Q340">
            <v>4378665.71</v>
          </cell>
          <cell r="R340">
            <v>4379435.84</v>
          </cell>
          <cell r="S340">
            <v>4391615.12</v>
          </cell>
          <cell r="T340">
            <v>4411311.6100000003</v>
          </cell>
          <cell r="U340">
            <v>4431205.87</v>
          </cell>
          <cell r="V340">
            <v>4476925.3499999996</v>
          </cell>
          <cell r="W340">
            <v>4488349.9000000004</v>
          </cell>
          <cell r="X340">
            <v>4500464.3600000003</v>
          </cell>
          <cell r="Y340">
            <v>4519428.87</v>
          </cell>
          <cell r="Z340">
            <v>4536882.1100000003</v>
          </cell>
          <cell r="AA340">
            <v>4562485.3</v>
          </cell>
          <cell r="AB340">
            <v>4595012.33</v>
          </cell>
          <cell r="AC340">
            <v>4630409.0599999996</v>
          </cell>
          <cell r="AD340">
            <v>4648217.08</v>
          </cell>
          <cell r="AE340">
            <v>4666475.21</v>
          </cell>
          <cell r="AF340">
            <v>4685767.54</v>
          </cell>
          <cell r="AG340">
            <v>4697735.12</v>
          </cell>
          <cell r="AH340">
            <v>4832869.8499999996</v>
          </cell>
          <cell r="AI340">
            <v>4694245.7699999996</v>
          </cell>
          <cell r="AJ340">
            <v>4792246.45</v>
          </cell>
          <cell r="AK340">
            <v>4789762.08</v>
          </cell>
          <cell r="AL340">
            <v>4839191.68</v>
          </cell>
          <cell r="AM340">
            <v>-11543387.310000001</v>
          </cell>
          <cell r="AN340">
            <v>3455096.72</v>
          </cell>
          <cell r="AO340">
            <v>3496565.79</v>
          </cell>
          <cell r="AP340">
            <v>3501075.51</v>
          </cell>
          <cell r="AQ340">
            <v>3505109.32</v>
          </cell>
          <cell r="AR340">
            <v>3505145.38</v>
          </cell>
          <cell r="AS340">
            <v>3521399.73</v>
          </cell>
          <cell r="AT340">
            <v>3535183.23</v>
          </cell>
          <cell r="AU340">
            <v>3550461.63</v>
          </cell>
          <cell r="AV340">
            <v>3569379.77</v>
          </cell>
          <cell r="AW340">
            <v>3605793.55</v>
          </cell>
          <cell r="AX340">
            <v>3624645.6</v>
          </cell>
          <cell r="AY340">
            <v>3637384.83</v>
          </cell>
          <cell r="AZ340">
            <v>3661059.86</v>
          </cell>
          <cell r="BA340">
            <v>3690800.04</v>
          </cell>
          <cell r="BB340">
            <v>3707651.2</v>
          </cell>
          <cell r="BC340">
            <v>3728141.11</v>
          </cell>
          <cell r="BD340">
            <v>3742644.69</v>
          </cell>
          <cell r="BE340">
            <v>3764641.05</v>
          </cell>
          <cell r="BF340">
            <v>3783217.4</v>
          </cell>
          <cell r="BG340">
            <v>3801249.38</v>
          </cell>
          <cell r="BH340">
            <v>3841773.51</v>
          </cell>
          <cell r="BI340">
            <v>3826813.45</v>
          </cell>
          <cell r="BJ340">
            <v>3867414.58</v>
          </cell>
          <cell r="BK340">
            <v>3904767.59</v>
          </cell>
          <cell r="BL340">
            <v>2934688.97</v>
          </cell>
          <cell r="BM340">
            <v>2952641.62</v>
          </cell>
          <cell r="BN340">
            <v>2978909.57</v>
          </cell>
          <cell r="BO340">
            <v>3002377.31</v>
          </cell>
          <cell r="BP340">
            <v>3018393.21</v>
          </cell>
          <cell r="BQ340">
            <v>3037868.19</v>
          </cell>
          <cell r="BR340">
            <v>3064217.73</v>
          </cell>
          <cell r="BS340">
            <v>3079625.91</v>
          </cell>
          <cell r="BT340">
            <v>3093590.79</v>
          </cell>
          <cell r="BU340">
            <v>3125330.53</v>
          </cell>
          <cell r="BV340">
            <v>3135179.43</v>
          </cell>
          <cell r="BW340">
            <v>3163298.54</v>
          </cell>
          <cell r="BX340">
            <v>3192245.11</v>
          </cell>
          <cell r="BY340">
            <v>3207661.71</v>
          </cell>
          <cell r="BZ340">
            <v>3241482.99</v>
          </cell>
          <cell r="CA340">
            <v>3261304.49</v>
          </cell>
          <cell r="CB340">
            <v>3279834.72</v>
          </cell>
          <cell r="CC340">
            <v>3298307.42</v>
          </cell>
          <cell r="CD340">
            <v>3321832.65</v>
          </cell>
          <cell r="CE340">
            <v>3338484.81</v>
          </cell>
          <cell r="CF340">
            <v>3366430.75</v>
          </cell>
          <cell r="CG340">
            <v>3390082.75</v>
          </cell>
          <cell r="CH340">
            <v>3482803.59</v>
          </cell>
          <cell r="CI340">
            <v>3512901.43</v>
          </cell>
          <cell r="CJ340">
            <v>4014104.16</v>
          </cell>
          <cell r="CK340">
            <v>4039568.89</v>
          </cell>
          <cell r="CL340">
            <v>4032907.24</v>
          </cell>
          <cell r="CM340">
            <v>4060323.96</v>
          </cell>
          <cell r="CN340">
            <v>4193158.12</v>
          </cell>
          <cell r="CO340">
            <v>4218060.79</v>
          </cell>
          <cell r="CP340">
            <v>4242272.97</v>
          </cell>
          <cell r="CQ340">
            <v>4259295.82</v>
          </cell>
          <cell r="CR340">
            <v>4279673.78</v>
          </cell>
          <cell r="CS340">
            <v>4291604.01</v>
          </cell>
          <cell r="CT340">
            <v>4316111.74</v>
          </cell>
          <cell r="CU340">
            <v>4445760.51</v>
          </cell>
          <cell r="CV340">
            <v>4473831.7699999996</v>
          </cell>
          <cell r="CW340">
            <v>4497554.79</v>
          </cell>
          <cell r="CX340">
            <v>-277519.33</v>
          </cell>
          <cell r="CY340">
            <v>4546511.57</v>
          </cell>
          <cell r="CZ340">
            <v>4578220.93</v>
          </cell>
          <cell r="DA340">
            <v>-173059.11</v>
          </cell>
          <cell r="DB340">
            <v>4636875.54</v>
          </cell>
          <cell r="DC340">
            <v>4662298.9800000004</v>
          </cell>
          <cell r="DD340">
            <v>-91907.83</v>
          </cell>
          <cell r="DE340">
            <v>4712669.83</v>
          </cell>
          <cell r="DF340">
            <v>4814827.2300000004</v>
          </cell>
          <cell r="DG340">
            <v>4837016.1399999997</v>
          </cell>
          <cell r="DH340">
            <v>41217320.510000005</v>
          </cell>
        </row>
        <row r="341">
          <cell r="A341" t="str">
            <v>6810071</v>
          </cell>
          <cell r="B341" t="str">
            <v>6810071</v>
          </cell>
          <cell r="C341" t="str">
            <v>Depr-CI/BSR Rider</v>
          </cell>
          <cell r="D341">
            <v>20266</v>
          </cell>
          <cell r="E341">
            <v>21340</v>
          </cell>
          <cell r="F341">
            <v>23035</v>
          </cell>
          <cell r="G341">
            <v>26180.63</v>
          </cell>
          <cell r="H341">
            <v>28987.91</v>
          </cell>
          <cell r="I341">
            <v>28931</v>
          </cell>
          <cell r="J341">
            <v>29946</v>
          </cell>
          <cell r="K341">
            <v>35475</v>
          </cell>
          <cell r="L341">
            <v>38692</v>
          </cell>
          <cell r="M341">
            <v>42921</v>
          </cell>
          <cell r="N341">
            <v>46273</v>
          </cell>
          <cell r="O341">
            <v>47889</v>
          </cell>
          <cell r="P341">
            <v>-23185</v>
          </cell>
          <cell r="Q341">
            <v>46751.7</v>
          </cell>
          <cell r="R341">
            <v>51796.68</v>
          </cell>
          <cell r="S341">
            <v>54567.78</v>
          </cell>
          <cell r="T341">
            <v>56167.8</v>
          </cell>
          <cell r="U341">
            <v>57460.03</v>
          </cell>
          <cell r="V341">
            <v>61075.39</v>
          </cell>
          <cell r="W341">
            <v>62176.19</v>
          </cell>
          <cell r="X341">
            <v>62298.94</v>
          </cell>
          <cell r="Y341">
            <v>65301.23</v>
          </cell>
          <cell r="Z341">
            <v>67080.98</v>
          </cell>
          <cell r="AA341">
            <v>69366.2</v>
          </cell>
          <cell r="AB341">
            <v>72135.429999999993</v>
          </cell>
          <cell r="AC341">
            <v>74455.61</v>
          </cell>
          <cell r="AD341">
            <v>75128.23</v>
          </cell>
          <cell r="AE341">
            <v>77009.06</v>
          </cell>
          <cell r="AF341">
            <v>77978.8</v>
          </cell>
          <cell r="AG341">
            <v>79729.759999999995</v>
          </cell>
          <cell r="AH341">
            <v>83385.960000000006</v>
          </cell>
          <cell r="AI341">
            <v>86009.94</v>
          </cell>
          <cell r="AJ341">
            <v>89473.7</v>
          </cell>
          <cell r="AK341">
            <v>101299.18</v>
          </cell>
          <cell r="AL341">
            <v>104846.84</v>
          </cell>
          <cell r="AM341">
            <v>-113018.26</v>
          </cell>
          <cell r="AN341">
            <v>96519.4</v>
          </cell>
          <cell r="AO341">
            <v>75574.33</v>
          </cell>
          <cell r="AP341">
            <v>88141.19</v>
          </cell>
          <cell r="AQ341">
            <v>93042.77</v>
          </cell>
          <cell r="AR341">
            <v>97407.29</v>
          </cell>
          <cell r="AS341">
            <v>99144.09</v>
          </cell>
          <cell r="AT341">
            <v>101751.93</v>
          </cell>
          <cell r="AU341">
            <v>104951.78</v>
          </cell>
          <cell r="AV341">
            <v>107437.77</v>
          </cell>
          <cell r="AW341">
            <v>109187.73</v>
          </cell>
          <cell r="AX341">
            <v>115959.47</v>
          </cell>
          <cell r="AY341">
            <v>120916.8</v>
          </cell>
          <cell r="AZ341">
            <v>123662.3</v>
          </cell>
          <cell r="BA341">
            <v>123959.58</v>
          </cell>
          <cell r="BB341">
            <v>125406.7</v>
          </cell>
          <cell r="BC341">
            <v>127467.73</v>
          </cell>
          <cell r="BD341">
            <v>129946.96</v>
          </cell>
          <cell r="BE341">
            <v>147674.97</v>
          </cell>
          <cell r="BF341">
            <v>149450.60999999999</v>
          </cell>
          <cell r="BG341">
            <v>150888.73000000001</v>
          </cell>
          <cell r="BH341">
            <v>153193.07</v>
          </cell>
          <cell r="BI341">
            <v>154355.09</v>
          </cell>
          <cell r="BJ341">
            <v>155193.71</v>
          </cell>
          <cell r="BK341">
            <v>179736.85</v>
          </cell>
          <cell r="BL341">
            <v>123134.96</v>
          </cell>
          <cell r="BM341">
            <v>124984.57</v>
          </cell>
          <cell r="BN341">
            <v>135319</v>
          </cell>
          <cell r="BO341">
            <v>140386.76</v>
          </cell>
          <cell r="BP341">
            <v>142628.81</v>
          </cell>
          <cell r="BQ341">
            <v>147968.45000000001</v>
          </cell>
          <cell r="BR341">
            <v>150503.04000000001</v>
          </cell>
          <cell r="BS341">
            <v>157043.65</v>
          </cell>
          <cell r="BT341">
            <v>158558.57</v>
          </cell>
          <cell r="BU341">
            <v>163523.09</v>
          </cell>
          <cell r="BV341">
            <v>165041.46</v>
          </cell>
          <cell r="BW341">
            <v>177485.13</v>
          </cell>
          <cell r="BX341">
            <v>181567.07</v>
          </cell>
          <cell r="BY341">
            <v>182403.98</v>
          </cell>
          <cell r="BZ341">
            <v>186206.29</v>
          </cell>
          <cell r="CA341">
            <v>197568.45</v>
          </cell>
          <cell r="CB341">
            <v>200080.26</v>
          </cell>
          <cell r="CC341">
            <v>202622.93</v>
          </cell>
          <cell r="CD341">
            <v>203476.94</v>
          </cell>
          <cell r="CE341">
            <v>205236.8</v>
          </cell>
          <cell r="CF341">
            <v>211242.97</v>
          </cell>
          <cell r="CG341">
            <v>212184.05</v>
          </cell>
          <cell r="CH341">
            <v>215449.68</v>
          </cell>
          <cell r="CI341">
            <v>221506.58</v>
          </cell>
          <cell r="CJ341">
            <v>-9971.86</v>
          </cell>
          <cell r="CK341">
            <v>-1905.14</v>
          </cell>
          <cell r="CL341">
            <v>401.93</v>
          </cell>
          <cell r="CM341">
            <v>4034.39</v>
          </cell>
          <cell r="CN341">
            <v>5684.58</v>
          </cell>
          <cell r="CO341">
            <v>6508.95</v>
          </cell>
          <cell r="CP341">
            <v>7800.93</v>
          </cell>
          <cell r="CQ341">
            <v>9314.52</v>
          </cell>
          <cell r="CR341">
            <v>10174.290000000001</v>
          </cell>
          <cell r="CS341">
            <v>12031.25</v>
          </cell>
          <cell r="CT341">
            <v>12745.7</v>
          </cell>
          <cell r="CU341">
            <v>14393.46</v>
          </cell>
          <cell r="CV341">
            <v>27690.1</v>
          </cell>
          <cell r="CW341">
            <v>28350.720000000001</v>
          </cell>
          <cell r="CX341">
            <v>30346.71</v>
          </cell>
          <cell r="CY341">
            <v>31350.63</v>
          </cell>
          <cell r="CZ341">
            <v>31738.92</v>
          </cell>
          <cell r="DA341">
            <v>33579.47</v>
          </cell>
          <cell r="DB341">
            <v>37413.120000000003</v>
          </cell>
          <cell r="DC341">
            <v>37695.410000000003</v>
          </cell>
          <cell r="DD341">
            <v>38883.26</v>
          </cell>
          <cell r="DE341">
            <v>38968.58</v>
          </cell>
          <cell r="DF341">
            <v>39446.120000000003</v>
          </cell>
          <cell r="DG341">
            <v>39895.629999999997</v>
          </cell>
          <cell r="DH341">
            <v>415358.67000000004</v>
          </cell>
        </row>
        <row r="342">
          <cell r="A342" t="str">
            <v>6810801</v>
          </cell>
          <cell r="B342" t="str">
            <v>6810801</v>
          </cell>
          <cell r="C342" t="str">
            <v>Deprec Other-GAAP</v>
          </cell>
          <cell r="AE342">
            <v>0</v>
          </cell>
          <cell r="AF342">
            <v>0</v>
          </cell>
          <cell r="AG342">
            <v>-98151</v>
          </cell>
          <cell r="AH342">
            <v>-32717</v>
          </cell>
          <cell r="AI342">
            <v>-32717</v>
          </cell>
          <cell r="AJ342">
            <v>-32717</v>
          </cell>
          <cell r="AK342">
            <v>-32717</v>
          </cell>
          <cell r="AL342">
            <v>-55592</v>
          </cell>
          <cell r="AM342">
            <v>-44155</v>
          </cell>
          <cell r="AN342">
            <v>-44155</v>
          </cell>
          <cell r="AO342">
            <v>-44155</v>
          </cell>
          <cell r="AP342">
            <v>-44155</v>
          </cell>
          <cell r="AQ342">
            <v>-44155</v>
          </cell>
          <cell r="AR342">
            <v>-44155</v>
          </cell>
          <cell r="AS342">
            <v>-44155</v>
          </cell>
          <cell r="AT342">
            <v>-44155</v>
          </cell>
          <cell r="AU342">
            <v>-44155</v>
          </cell>
          <cell r="AV342">
            <v>-44155</v>
          </cell>
          <cell r="AW342">
            <v>-44155</v>
          </cell>
          <cell r="AX342">
            <v>-44155</v>
          </cell>
          <cell r="AY342">
            <v>-44155</v>
          </cell>
          <cell r="AZ342">
            <v>-44155</v>
          </cell>
          <cell r="BA342">
            <v>-44155</v>
          </cell>
          <cell r="BB342">
            <v>-44155</v>
          </cell>
          <cell r="BC342">
            <v>-44155</v>
          </cell>
          <cell r="BD342">
            <v>-44155</v>
          </cell>
          <cell r="BE342">
            <v>-44155</v>
          </cell>
          <cell r="BF342">
            <v>-44155</v>
          </cell>
          <cell r="BG342">
            <v>-44155</v>
          </cell>
          <cell r="BH342">
            <v>-44155</v>
          </cell>
          <cell r="BI342">
            <v>-44155</v>
          </cell>
          <cell r="BJ342">
            <v>-44155</v>
          </cell>
          <cell r="BK342">
            <v>-44155</v>
          </cell>
          <cell r="BL342">
            <v>-44155</v>
          </cell>
          <cell r="BM342">
            <v>-44155</v>
          </cell>
          <cell r="BN342">
            <v>-44155</v>
          </cell>
          <cell r="BO342">
            <v>-44155</v>
          </cell>
          <cell r="BP342">
            <v>-44155</v>
          </cell>
          <cell r="BQ342">
            <v>-44155</v>
          </cell>
          <cell r="BR342">
            <v>-44155</v>
          </cell>
          <cell r="BS342">
            <v>-44155</v>
          </cell>
          <cell r="BT342">
            <v>-44155</v>
          </cell>
          <cell r="BU342">
            <v>-44155</v>
          </cell>
          <cell r="BV342">
            <v>-44155</v>
          </cell>
          <cell r="BW342">
            <v>-44155</v>
          </cell>
          <cell r="BX342">
            <v>-44155</v>
          </cell>
          <cell r="BY342">
            <v>-44155</v>
          </cell>
          <cell r="BZ342">
            <v>-44155</v>
          </cell>
          <cell r="CA342">
            <v>-44155</v>
          </cell>
          <cell r="CB342">
            <v>-44155</v>
          </cell>
          <cell r="CC342">
            <v>-44155</v>
          </cell>
          <cell r="CD342">
            <v>-44155</v>
          </cell>
          <cell r="CE342">
            <v>-44155</v>
          </cell>
          <cell r="CF342">
            <v>-44155</v>
          </cell>
          <cell r="CG342">
            <v>-44155</v>
          </cell>
          <cell r="CH342">
            <v>-44155</v>
          </cell>
          <cell r="CI342">
            <v>-44155</v>
          </cell>
          <cell r="CJ342">
            <v>-44155</v>
          </cell>
          <cell r="CK342">
            <v>-44155</v>
          </cell>
          <cell r="CL342">
            <v>-44155</v>
          </cell>
          <cell r="CM342">
            <v>-44155</v>
          </cell>
          <cell r="CN342">
            <v>-44155</v>
          </cell>
          <cell r="CO342">
            <v>-44155</v>
          </cell>
          <cell r="CP342">
            <v>-44155</v>
          </cell>
          <cell r="CQ342">
            <v>-44155</v>
          </cell>
          <cell r="CR342">
            <v>-44155</v>
          </cell>
          <cell r="CS342">
            <v>-44155</v>
          </cell>
          <cell r="CT342">
            <v>-44155</v>
          </cell>
          <cell r="CU342">
            <v>-44155</v>
          </cell>
          <cell r="CV342">
            <v>-44155</v>
          </cell>
          <cell r="CW342">
            <v>-44155</v>
          </cell>
          <cell r="CX342">
            <v>-44155</v>
          </cell>
          <cell r="CY342">
            <v>-32717</v>
          </cell>
          <cell r="CZ342">
            <v>-32717</v>
          </cell>
          <cell r="DA342">
            <v>-32717</v>
          </cell>
          <cell r="DB342">
            <v>-32717</v>
          </cell>
          <cell r="DC342">
            <v>0</v>
          </cell>
          <cell r="DD342">
            <v>0</v>
          </cell>
          <cell r="DE342">
            <v>0</v>
          </cell>
          <cell r="DF342">
            <v>0</v>
          </cell>
          <cell r="DG342">
            <v>0</v>
          </cell>
          <cell r="DH342">
            <v>-263333</v>
          </cell>
        </row>
        <row r="343">
          <cell r="A343" t="str">
            <v>6810802</v>
          </cell>
          <cell r="B343" t="str">
            <v>6810802</v>
          </cell>
          <cell r="C343" t="str">
            <v>Deprec Leased Assets</v>
          </cell>
          <cell r="AE343">
            <v>0</v>
          </cell>
          <cell r="AF343">
            <v>0</v>
          </cell>
          <cell r="AH343">
            <v>43185.87</v>
          </cell>
          <cell r="AI343">
            <v>57190.12</v>
          </cell>
          <cell r="AJ343">
            <v>57190.12</v>
          </cell>
          <cell r="AK343">
            <v>58290.12</v>
          </cell>
          <cell r="AL343">
            <v>58290.12</v>
          </cell>
          <cell r="AM343">
            <v>-22300.51</v>
          </cell>
          <cell r="AN343">
            <v>44159.19</v>
          </cell>
          <cell r="AO343">
            <v>44159.19</v>
          </cell>
          <cell r="AP343">
            <v>44159.19</v>
          </cell>
          <cell r="AQ343">
            <v>44159.19</v>
          </cell>
          <cell r="AR343">
            <v>44159.19</v>
          </cell>
          <cell r="AS343">
            <v>44159.19</v>
          </cell>
          <cell r="AT343">
            <v>44159.19</v>
          </cell>
          <cell r="AU343">
            <v>44159.19</v>
          </cell>
          <cell r="AV343">
            <v>44159.19</v>
          </cell>
          <cell r="AW343">
            <v>44159.19</v>
          </cell>
          <cell r="AX343">
            <v>44159.19</v>
          </cell>
          <cell r="AY343">
            <v>44159.19</v>
          </cell>
          <cell r="AZ343">
            <v>44159.19</v>
          </cell>
          <cell r="BA343">
            <v>44159.19</v>
          </cell>
          <cell r="BB343">
            <v>44172.67</v>
          </cell>
          <cell r="BC343">
            <v>50138.69</v>
          </cell>
          <cell r="BD343">
            <v>50138.69</v>
          </cell>
          <cell r="BE343">
            <v>50138.69</v>
          </cell>
          <cell r="BF343">
            <v>50138.69</v>
          </cell>
          <cell r="BG343">
            <v>50138.69</v>
          </cell>
          <cell r="BH343">
            <v>50138.69</v>
          </cell>
          <cell r="BI343">
            <v>50138.69</v>
          </cell>
          <cell r="BJ343">
            <v>50138.69</v>
          </cell>
          <cell r="BK343">
            <v>50138.69</v>
          </cell>
          <cell r="BL343">
            <v>50138.69</v>
          </cell>
          <cell r="BM343">
            <v>50138.69</v>
          </cell>
          <cell r="BN343">
            <v>50166.52</v>
          </cell>
          <cell r="BO343">
            <v>50166.52</v>
          </cell>
          <cell r="BP343">
            <v>54729.68</v>
          </cell>
          <cell r="BQ343">
            <v>54729.68</v>
          </cell>
          <cell r="BR343">
            <v>54729.68</v>
          </cell>
          <cell r="BS343">
            <v>54729.68</v>
          </cell>
          <cell r="BT343">
            <v>54729.68</v>
          </cell>
          <cell r="BU343">
            <v>54729.68</v>
          </cell>
          <cell r="BV343">
            <v>54729.68</v>
          </cell>
          <cell r="BW343">
            <v>54729.68</v>
          </cell>
          <cell r="BX343">
            <v>54729.68</v>
          </cell>
          <cell r="BY343">
            <v>54729.68</v>
          </cell>
          <cell r="BZ343">
            <v>54729.68</v>
          </cell>
          <cell r="CA343">
            <v>54729.68</v>
          </cell>
          <cell r="CB343">
            <v>54729.68</v>
          </cell>
          <cell r="CC343">
            <v>54729.68</v>
          </cell>
          <cell r="CD343">
            <v>54729.68</v>
          </cell>
          <cell r="CE343">
            <v>54729.68</v>
          </cell>
          <cell r="CF343">
            <v>54729.68</v>
          </cell>
          <cell r="CG343">
            <v>54729.68</v>
          </cell>
          <cell r="CH343">
            <v>54729.68</v>
          </cell>
          <cell r="CI343">
            <v>54729.68</v>
          </cell>
          <cell r="CJ343">
            <v>54729.68</v>
          </cell>
          <cell r="CK343">
            <v>54729.68</v>
          </cell>
          <cell r="CL343">
            <v>54729.68</v>
          </cell>
          <cell r="CM343">
            <v>54729.68</v>
          </cell>
          <cell r="CN343">
            <v>54701.85</v>
          </cell>
          <cell r="CO343">
            <v>54701.85</v>
          </cell>
          <cell r="CP343">
            <v>54701.85</v>
          </cell>
          <cell r="CQ343">
            <v>54701.85</v>
          </cell>
          <cell r="CR343">
            <v>54701.85</v>
          </cell>
          <cell r="CS343">
            <v>54701.85</v>
          </cell>
          <cell r="CT343">
            <v>54701.85</v>
          </cell>
          <cell r="CU343">
            <v>54701.85</v>
          </cell>
          <cell r="CV343">
            <v>54701.85</v>
          </cell>
          <cell r="CW343">
            <v>54701.85</v>
          </cell>
          <cell r="CX343">
            <v>54701.85</v>
          </cell>
          <cell r="CY343">
            <v>43259.23</v>
          </cell>
          <cell r="CZ343">
            <v>43259.23</v>
          </cell>
          <cell r="DA343">
            <v>43259.23</v>
          </cell>
          <cell r="DB343">
            <v>43259.23</v>
          </cell>
          <cell r="DC343">
            <v>10529.17</v>
          </cell>
          <cell r="DD343">
            <v>10529.17</v>
          </cell>
          <cell r="DE343">
            <v>10529.17</v>
          </cell>
          <cell r="DF343">
            <v>10529.17</v>
          </cell>
          <cell r="DG343">
            <v>10529.17</v>
          </cell>
          <cell r="DH343">
            <v>389788.31999999989</v>
          </cell>
        </row>
        <row r="344">
          <cell r="A344" t="str">
            <v>6900010</v>
          </cell>
          <cell r="B344" t="str">
            <v>6900010</v>
          </cell>
          <cell r="C344" t="str">
            <v>TOTI-Franchise Fees</v>
          </cell>
          <cell r="D344">
            <v>962488.02</v>
          </cell>
          <cell r="E344">
            <v>970766.68</v>
          </cell>
          <cell r="F344">
            <v>818115.57</v>
          </cell>
          <cell r="G344">
            <v>765780.78</v>
          </cell>
          <cell r="H344">
            <v>634682.4</v>
          </cell>
          <cell r="I344">
            <v>659680.96</v>
          </cell>
          <cell r="J344">
            <v>611352.59</v>
          </cell>
          <cell r="K344">
            <v>579391.89</v>
          </cell>
          <cell r="L344">
            <v>612396.09</v>
          </cell>
          <cell r="M344">
            <v>613588.09</v>
          </cell>
          <cell r="N344">
            <v>654532.75</v>
          </cell>
          <cell r="O344">
            <v>821418.82</v>
          </cell>
          <cell r="P344">
            <v>921564.01</v>
          </cell>
          <cell r="Q344">
            <v>930701.6</v>
          </cell>
          <cell r="R344">
            <v>876713.12</v>
          </cell>
          <cell r="S344">
            <v>716711.79</v>
          </cell>
          <cell r="T344">
            <v>628787.68999999994</v>
          </cell>
          <cell r="U344">
            <v>659683.54</v>
          </cell>
          <cell r="V344">
            <v>731931.03</v>
          </cell>
          <cell r="W344">
            <v>555618.9</v>
          </cell>
          <cell r="X344">
            <v>659420.37</v>
          </cell>
          <cell r="Y344">
            <v>663224.89</v>
          </cell>
          <cell r="Z344">
            <v>711130.29</v>
          </cell>
          <cell r="AA344">
            <v>786432.01</v>
          </cell>
          <cell r="AB344">
            <v>944707.49</v>
          </cell>
          <cell r="AC344">
            <v>1061673.83</v>
          </cell>
          <cell r="AD344">
            <v>932956.59</v>
          </cell>
          <cell r="AE344">
            <v>853197.85</v>
          </cell>
          <cell r="AF344">
            <v>771462.93</v>
          </cell>
          <cell r="AG344">
            <v>715451.39</v>
          </cell>
          <cell r="AH344">
            <v>671022.66</v>
          </cell>
          <cell r="AI344">
            <v>666345.05000000005</v>
          </cell>
          <cell r="AJ344">
            <v>666261.43999999994</v>
          </cell>
          <cell r="AK344">
            <v>662989.31999999995</v>
          </cell>
          <cell r="AL344">
            <v>721183.81</v>
          </cell>
          <cell r="AM344">
            <v>827905.41</v>
          </cell>
          <cell r="AN344">
            <v>908405.3</v>
          </cell>
          <cell r="AO344">
            <v>873855.53</v>
          </cell>
          <cell r="AP344">
            <v>843831.69</v>
          </cell>
          <cell r="AQ344">
            <v>823902.14</v>
          </cell>
          <cell r="AR344">
            <v>745675.26</v>
          </cell>
          <cell r="AS344">
            <v>703437.52</v>
          </cell>
          <cell r="AT344">
            <v>662025.48</v>
          </cell>
          <cell r="AU344">
            <v>665891.54</v>
          </cell>
          <cell r="AV344">
            <v>688518.25</v>
          </cell>
          <cell r="AW344">
            <v>719407.09</v>
          </cell>
          <cell r="AX344">
            <v>784829.67</v>
          </cell>
          <cell r="AY344">
            <v>896025.55</v>
          </cell>
          <cell r="AZ344">
            <v>1200983.6299999999</v>
          </cell>
          <cell r="BA344">
            <v>1074141.94</v>
          </cell>
          <cell r="BB344">
            <v>943123.05</v>
          </cell>
          <cell r="BC344">
            <v>935732.52</v>
          </cell>
          <cell r="BD344">
            <v>849832.03</v>
          </cell>
          <cell r="BE344">
            <v>812558.07</v>
          </cell>
          <cell r="BF344">
            <v>746757.66</v>
          </cell>
          <cell r="BG344">
            <v>728620.03</v>
          </cell>
          <cell r="BH344">
            <v>772746.52</v>
          </cell>
          <cell r="BI344">
            <v>716676.54</v>
          </cell>
          <cell r="BJ344">
            <v>769378.23</v>
          </cell>
          <cell r="BK344">
            <v>937801.05</v>
          </cell>
          <cell r="BL344">
            <v>1066822.57</v>
          </cell>
          <cell r="BM344">
            <v>1041144.7</v>
          </cell>
          <cell r="BN344">
            <v>965206.94</v>
          </cell>
          <cell r="BO344">
            <v>930781.64</v>
          </cell>
          <cell r="BP344">
            <v>806809.96</v>
          </cell>
          <cell r="BQ344">
            <v>775019.29</v>
          </cell>
          <cell r="BR344">
            <v>753787.61</v>
          </cell>
          <cell r="BS344">
            <v>720129.45</v>
          </cell>
          <cell r="BT344">
            <v>756683.05</v>
          </cell>
          <cell r="BU344">
            <v>740014.74</v>
          </cell>
          <cell r="BV344">
            <v>823134.47</v>
          </cell>
          <cell r="BW344">
            <v>993293.22</v>
          </cell>
          <cell r="BX344">
            <v>1099027.43</v>
          </cell>
          <cell r="BY344">
            <v>1057497.58</v>
          </cell>
          <cell r="BZ344">
            <v>995565.97</v>
          </cell>
          <cell r="CA344">
            <v>858234.19</v>
          </cell>
          <cell r="CB344">
            <v>757404.7</v>
          </cell>
          <cell r="CC344">
            <v>703815.08</v>
          </cell>
          <cell r="CD344">
            <v>735672.65</v>
          </cell>
          <cell r="CE344">
            <v>728815.39</v>
          </cell>
          <cell r="CF344">
            <v>712266.38</v>
          </cell>
          <cell r="CG344">
            <v>741461.7</v>
          </cell>
          <cell r="CH344">
            <v>845673.32</v>
          </cell>
          <cell r="CI344">
            <v>974505.53</v>
          </cell>
          <cell r="CJ344">
            <v>1339279.8</v>
          </cell>
          <cell r="CK344">
            <v>1246435.1200000001</v>
          </cell>
          <cell r="CL344">
            <v>1168468.74</v>
          </cell>
          <cell r="CM344">
            <v>1172223.43</v>
          </cell>
          <cell r="CN344">
            <v>1047174.69</v>
          </cell>
          <cell r="CO344">
            <v>984453.81</v>
          </cell>
          <cell r="CP344">
            <v>986918.97</v>
          </cell>
          <cell r="CQ344">
            <v>919524.78</v>
          </cell>
          <cell r="CR344">
            <v>971650.93</v>
          </cell>
          <cell r="CS344">
            <v>923528.5</v>
          </cell>
          <cell r="CT344">
            <v>1044670.42</v>
          </cell>
          <cell r="CU344">
            <v>1264591.1000000001</v>
          </cell>
          <cell r="CV344">
            <v>1438551.14</v>
          </cell>
          <cell r="CW344">
            <v>1520736.87</v>
          </cell>
          <cell r="CX344">
            <v>1360442.37</v>
          </cell>
          <cell r="CY344">
            <v>1250057.25</v>
          </cell>
          <cell r="CZ344">
            <v>1182465.3400000001</v>
          </cell>
          <cell r="DA344">
            <v>1080663.08</v>
          </cell>
          <cell r="DB344">
            <v>1009625.02</v>
          </cell>
          <cell r="DC344">
            <v>1121007.94</v>
          </cell>
          <cell r="DD344">
            <v>1157497.69</v>
          </cell>
          <cell r="DE344">
            <v>1217081</v>
          </cell>
          <cell r="DF344">
            <v>1117482.67</v>
          </cell>
          <cell r="DG344">
            <v>1244950.2</v>
          </cell>
          <cell r="DH344">
            <v>14700560.569999998</v>
          </cell>
        </row>
        <row r="345">
          <cell r="A345" t="str">
            <v>6900030</v>
          </cell>
          <cell r="B345" t="str">
            <v>6900030</v>
          </cell>
          <cell r="C345" t="str">
            <v>TOTI-Gross Receipts</v>
          </cell>
          <cell r="D345">
            <v>1465731.05</v>
          </cell>
          <cell r="E345">
            <v>1421595.38</v>
          </cell>
          <cell r="F345">
            <v>1286642.43</v>
          </cell>
          <cell r="G345">
            <v>1142563.07</v>
          </cell>
          <cell r="H345">
            <v>973728.84</v>
          </cell>
          <cell r="I345">
            <v>877486.41</v>
          </cell>
          <cell r="J345">
            <v>810814.72</v>
          </cell>
          <cell r="K345">
            <v>823589.01</v>
          </cell>
          <cell r="L345">
            <v>877702.84</v>
          </cell>
          <cell r="M345">
            <v>906182.37</v>
          </cell>
          <cell r="N345">
            <v>1020693.12</v>
          </cell>
          <cell r="O345">
            <v>1299279.1100000001</v>
          </cell>
          <cell r="P345">
            <v>1442235.87</v>
          </cell>
          <cell r="Q345">
            <v>1486286.69</v>
          </cell>
          <cell r="R345">
            <v>1457304.46</v>
          </cell>
          <cell r="S345">
            <v>1148076.8</v>
          </cell>
          <cell r="T345">
            <v>937863.33</v>
          </cell>
          <cell r="U345">
            <v>958209.06</v>
          </cell>
          <cell r="V345">
            <v>1195531.6200000001</v>
          </cell>
          <cell r="W345">
            <v>686270.15</v>
          </cell>
          <cell r="X345">
            <v>909597.35</v>
          </cell>
          <cell r="Y345">
            <v>950741.2</v>
          </cell>
          <cell r="Z345">
            <v>1034527.47</v>
          </cell>
          <cell r="AA345">
            <v>1206266.96</v>
          </cell>
          <cell r="AB345">
            <v>1498909.7</v>
          </cell>
          <cell r="AC345">
            <v>1616852.72</v>
          </cell>
          <cell r="AD345">
            <v>1429511.29</v>
          </cell>
          <cell r="AE345">
            <v>1127332.1000000001</v>
          </cell>
          <cell r="AF345">
            <v>1110115.95</v>
          </cell>
          <cell r="AG345">
            <v>967475.79</v>
          </cell>
          <cell r="AH345">
            <v>931908.86</v>
          </cell>
          <cell r="AI345">
            <v>821047.49</v>
          </cell>
          <cell r="AJ345">
            <v>915385.39</v>
          </cell>
          <cell r="AK345">
            <v>897013.57</v>
          </cell>
          <cell r="AL345">
            <v>1056768.1499999999</v>
          </cell>
          <cell r="AM345">
            <v>1254297.95</v>
          </cell>
          <cell r="AN345">
            <v>1421653.55</v>
          </cell>
          <cell r="AO345">
            <v>1324602.05</v>
          </cell>
          <cell r="AP345">
            <v>1298064.1200000001</v>
          </cell>
          <cell r="AQ345">
            <v>1249194.8400000001</v>
          </cell>
          <cell r="AR345">
            <v>1077161.9099999999</v>
          </cell>
          <cell r="AS345">
            <v>949099.08</v>
          </cell>
          <cell r="AT345">
            <v>776245.84</v>
          </cell>
          <cell r="AU345">
            <v>875004.59</v>
          </cell>
          <cell r="AV345">
            <v>875395.73</v>
          </cell>
          <cell r="AW345">
            <v>936251.45</v>
          </cell>
          <cell r="AX345">
            <v>1049937.8400000001</v>
          </cell>
          <cell r="AY345">
            <v>1278413.8400000001</v>
          </cell>
          <cell r="AZ345">
            <v>1748087.86</v>
          </cell>
          <cell r="BA345">
            <v>1508987.86</v>
          </cell>
          <cell r="BB345">
            <v>1277608.48</v>
          </cell>
          <cell r="BC345">
            <v>1337389.19</v>
          </cell>
          <cell r="BD345">
            <v>1076048.68</v>
          </cell>
          <cell r="BE345">
            <v>1033662.19</v>
          </cell>
          <cell r="BF345">
            <v>894234.75</v>
          </cell>
          <cell r="BG345">
            <v>837829.54</v>
          </cell>
          <cell r="BH345">
            <v>986490.61</v>
          </cell>
          <cell r="BI345">
            <v>891540.29</v>
          </cell>
          <cell r="BJ345">
            <v>1009116.81</v>
          </cell>
          <cell r="BK345">
            <v>1392204.59</v>
          </cell>
          <cell r="BL345">
            <v>1655787.55</v>
          </cell>
          <cell r="BM345">
            <v>1640421.41</v>
          </cell>
          <cell r="BN345">
            <v>1424624.07</v>
          </cell>
          <cell r="BO345">
            <v>1125549.97</v>
          </cell>
          <cell r="BP345">
            <v>1177922.3799999999</v>
          </cell>
          <cell r="BQ345">
            <v>1016378.54</v>
          </cell>
          <cell r="BR345">
            <v>984361.68</v>
          </cell>
          <cell r="BS345">
            <v>932359.53</v>
          </cell>
          <cell r="BT345">
            <v>949375.97</v>
          </cell>
          <cell r="BU345">
            <v>936155.2</v>
          </cell>
          <cell r="BV345">
            <v>1112587.07</v>
          </cell>
          <cell r="BW345">
            <v>1504303.85</v>
          </cell>
          <cell r="BX345">
            <v>1618178.97</v>
          </cell>
          <cell r="BY345">
            <v>1572436.88</v>
          </cell>
          <cell r="BZ345">
            <v>1352878.21</v>
          </cell>
          <cell r="CA345">
            <v>1062025.6200000001</v>
          </cell>
          <cell r="CB345">
            <v>953525.89</v>
          </cell>
          <cell r="CC345">
            <v>967309.63</v>
          </cell>
          <cell r="CD345">
            <v>851851.75</v>
          </cell>
          <cell r="CE345">
            <v>911904.78</v>
          </cell>
          <cell r="CF345">
            <v>870947.67</v>
          </cell>
          <cell r="CG345">
            <v>954992.39</v>
          </cell>
          <cell r="CH345">
            <v>1095394.1499999999</v>
          </cell>
          <cell r="CI345">
            <v>1396326.38</v>
          </cell>
          <cell r="CJ345">
            <v>1837558.54</v>
          </cell>
          <cell r="CK345">
            <v>1655338.08</v>
          </cell>
          <cell r="CL345">
            <v>1457150.65</v>
          </cell>
          <cell r="CM345">
            <v>1426996.58</v>
          </cell>
          <cell r="CN345">
            <v>1201056.29</v>
          </cell>
          <cell r="CO345">
            <v>1108542.6499999999</v>
          </cell>
          <cell r="CP345">
            <v>1134501.22</v>
          </cell>
          <cell r="CQ345">
            <v>1011208.09</v>
          </cell>
          <cell r="CR345">
            <v>1071922.69</v>
          </cell>
          <cell r="CS345">
            <v>1072270.76</v>
          </cell>
          <cell r="CT345">
            <v>1236232.4099999999</v>
          </cell>
          <cell r="CU345">
            <v>1610219.3</v>
          </cell>
          <cell r="CV345">
            <v>1747412.92</v>
          </cell>
          <cell r="CW345">
            <v>1727920.15</v>
          </cell>
          <cell r="CX345">
            <v>1638802.23</v>
          </cell>
          <cell r="CY345">
            <v>1466977.23</v>
          </cell>
          <cell r="CZ345">
            <v>1329404.5900000001</v>
          </cell>
          <cell r="DA345">
            <v>1171609.3500000001</v>
          </cell>
          <cell r="DB345">
            <v>1070368.31</v>
          </cell>
          <cell r="DC345">
            <v>1017536.8</v>
          </cell>
          <cell r="DD345">
            <v>1080019.73</v>
          </cell>
          <cell r="DE345">
            <v>1183729.3700000001</v>
          </cell>
          <cell r="DF345">
            <v>1255346.49</v>
          </cell>
          <cell r="DG345">
            <v>1563688.22</v>
          </cell>
          <cell r="DH345">
            <v>16252815.390000001</v>
          </cell>
        </row>
        <row r="346">
          <cell r="A346" t="str">
            <v>6900040</v>
          </cell>
          <cell r="B346" t="str">
            <v>6900040</v>
          </cell>
          <cell r="C346" t="str">
            <v>TOTI-Payroll Tax</v>
          </cell>
          <cell r="D346">
            <v>513899.56</v>
          </cell>
          <cell r="E346">
            <v>192111.83</v>
          </cell>
          <cell r="F346">
            <v>188788.5</v>
          </cell>
          <cell r="G346">
            <v>190675.25</v>
          </cell>
          <cell r="H346">
            <v>295409.40000000002</v>
          </cell>
          <cell r="I346">
            <v>183266.06</v>
          </cell>
          <cell r="J346">
            <v>184336.22</v>
          </cell>
          <cell r="K346">
            <v>183479.86</v>
          </cell>
          <cell r="L346">
            <v>179951.44</v>
          </cell>
          <cell r="M346">
            <v>268881.18</v>
          </cell>
          <cell r="N346">
            <v>189043.54</v>
          </cell>
          <cell r="O346">
            <v>267749.59000000003</v>
          </cell>
          <cell r="P346">
            <v>219788.02</v>
          </cell>
          <cell r="Q346">
            <v>338383.19</v>
          </cell>
          <cell r="R346">
            <v>240386.72</v>
          </cell>
          <cell r="S346">
            <v>294165.48</v>
          </cell>
          <cell r="T346">
            <v>187157.9</v>
          </cell>
          <cell r="U346">
            <v>193915.67</v>
          </cell>
          <cell r="V346">
            <v>180169.74</v>
          </cell>
          <cell r="W346">
            <v>184111.85</v>
          </cell>
          <cell r="X346">
            <v>167316.93</v>
          </cell>
          <cell r="Y346">
            <v>269874.71999999997</v>
          </cell>
          <cell r="Z346">
            <v>206913.99</v>
          </cell>
          <cell r="AA346">
            <v>268648.63</v>
          </cell>
          <cell r="AB346">
            <v>316057</v>
          </cell>
          <cell r="AC346">
            <v>259509.29</v>
          </cell>
          <cell r="AD346">
            <v>310442.06</v>
          </cell>
          <cell r="AE346">
            <v>200506.94</v>
          </cell>
          <cell r="AF346">
            <v>198256.83</v>
          </cell>
          <cell r="AG346">
            <v>197124.07</v>
          </cell>
          <cell r="AH346">
            <v>211087.52</v>
          </cell>
          <cell r="AI346">
            <v>246196.5</v>
          </cell>
          <cell r="AJ346">
            <v>313282.81</v>
          </cell>
          <cell r="AK346">
            <v>202268.7</v>
          </cell>
          <cell r="AL346">
            <v>161152.97</v>
          </cell>
          <cell r="AM346">
            <v>231861.72</v>
          </cell>
          <cell r="AN346">
            <v>264460.69</v>
          </cell>
          <cell r="AO346">
            <v>249825.81</v>
          </cell>
          <cell r="AP346">
            <v>330954.64</v>
          </cell>
          <cell r="AQ346">
            <v>224962.66</v>
          </cell>
          <cell r="AR346">
            <v>214288.17</v>
          </cell>
          <cell r="AS346">
            <v>221205.38</v>
          </cell>
          <cell r="AT346">
            <v>220045.88</v>
          </cell>
          <cell r="AU346">
            <v>330319.28000000003</v>
          </cell>
          <cell r="AV346">
            <v>226256.26</v>
          </cell>
          <cell r="AW346">
            <v>202242.11</v>
          </cell>
          <cell r="AX346">
            <v>223910.43</v>
          </cell>
          <cell r="AY346">
            <v>228088.02</v>
          </cell>
          <cell r="AZ346">
            <v>255845.55</v>
          </cell>
          <cell r="BA346">
            <v>318437.59999999998</v>
          </cell>
          <cell r="BB346">
            <v>350276.78</v>
          </cell>
          <cell r="BC346">
            <v>239945.3</v>
          </cell>
          <cell r="BD346">
            <v>237282.78</v>
          </cell>
          <cell r="BE346">
            <v>238344.06</v>
          </cell>
          <cell r="BF346">
            <v>247595.76</v>
          </cell>
          <cell r="BG346">
            <v>388768.2</v>
          </cell>
          <cell r="BH346">
            <v>246965.68</v>
          </cell>
          <cell r="BI346">
            <v>268739.77</v>
          </cell>
          <cell r="BJ346">
            <v>263371.71999999997</v>
          </cell>
          <cell r="BK346">
            <v>340349.92</v>
          </cell>
          <cell r="BL346">
            <v>410969.53</v>
          </cell>
          <cell r="BM346">
            <v>287161.67</v>
          </cell>
          <cell r="BN346">
            <v>261423.12</v>
          </cell>
          <cell r="BO346">
            <v>256504.34</v>
          </cell>
          <cell r="BP346">
            <v>256781.97</v>
          </cell>
          <cell r="BQ346">
            <v>256459.01</v>
          </cell>
          <cell r="BR346">
            <v>260533.29</v>
          </cell>
          <cell r="BS346">
            <v>375637.89</v>
          </cell>
          <cell r="BT346">
            <v>261612.34</v>
          </cell>
          <cell r="BU346">
            <v>254524.98</v>
          </cell>
          <cell r="BV346">
            <v>315412.69</v>
          </cell>
          <cell r="BW346">
            <v>382810.19</v>
          </cell>
          <cell r="BX346">
            <v>337906.09</v>
          </cell>
          <cell r="BY346">
            <v>373135.64</v>
          </cell>
          <cell r="BZ346">
            <v>311945.71999999997</v>
          </cell>
          <cell r="CA346">
            <v>276934.52</v>
          </cell>
          <cell r="CB346">
            <v>277587.19</v>
          </cell>
          <cell r="CC346">
            <v>264970.82</v>
          </cell>
          <cell r="CD346">
            <v>397312.17</v>
          </cell>
          <cell r="CE346">
            <v>271030.08</v>
          </cell>
          <cell r="CF346">
            <v>120850.93</v>
          </cell>
          <cell r="CG346">
            <v>268781.05</v>
          </cell>
          <cell r="CH346">
            <v>277307.40999999997</v>
          </cell>
          <cell r="CI346">
            <v>356983.64</v>
          </cell>
          <cell r="CJ346">
            <v>334886.88</v>
          </cell>
          <cell r="CK346">
            <v>313955.82</v>
          </cell>
          <cell r="CL346">
            <v>363252</v>
          </cell>
          <cell r="CM346">
            <v>303140</v>
          </cell>
          <cell r="CN346">
            <v>302745.43</v>
          </cell>
          <cell r="CO346">
            <v>218448.63</v>
          </cell>
          <cell r="CP346">
            <v>426721.29</v>
          </cell>
          <cell r="CQ346">
            <v>282078</v>
          </cell>
          <cell r="CR346">
            <v>264677.14</v>
          </cell>
          <cell r="CS346">
            <v>340171.16</v>
          </cell>
          <cell r="CT346">
            <v>301178.21999999997</v>
          </cell>
          <cell r="CU346">
            <v>534773.48</v>
          </cell>
          <cell r="CV346">
            <v>358131.84</v>
          </cell>
          <cell r="CW346">
            <v>359312.84</v>
          </cell>
          <cell r="CX346">
            <v>391884.06</v>
          </cell>
          <cell r="CY346">
            <v>337409.64</v>
          </cell>
          <cell r="CZ346">
            <v>338598.56</v>
          </cell>
          <cell r="DA346">
            <v>547591.06999999995</v>
          </cell>
          <cell r="DB346">
            <v>354170.16</v>
          </cell>
          <cell r="DC346">
            <v>353955.75</v>
          </cell>
          <cell r="DD346">
            <v>355260.52</v>
          </cell>
          <cell r="DE346">
            <v>375242.96</v>
          </cell>
          <cell r="DF346">
            <v>403795.20000000001</v>
          </cell>
          <cell r="DG346">
            <v>696010.53</v>
          </cell>
          <cell r="DH346">
            <v>4871363.13</v>
          </cell>
        </row>
        <row r="347">
          <cell r="A347" t="str">
            <v>6900060</v>
          </cell>
          <cell r="B347" t="str">
            <v>6900060</v>
          </cell>
          <cell r="C347" t="str">
            <v>TOTI-Prop Tax ATL</v>
          </cell>
          <cell r="D347">
            <v>809000</v>
          </cell>
          <cell r="E347">
            <v>809000</v>
          </cell>
          <cell r="F347">
            <v>809000</v>
          </cell>
          <cell r="G347">
            <v>809000</v>
          </cell>
          <cell r="H347">
            <v>809000</v>
          </cell>
          <cell r="I347">
            <v>807092.51</v>
          </cell>
          <cell r="J347">
            <v>809000</v>
          </cell>
          <cell r="K347">
            <v>471000</v>
          </cell>
          <cell r="L347">
            <v>766977</v>
          </cell>
          <cell r="M347">
            <v>766977</v>
          </cell>
          <cell r="N347">
            <v>812057</v>
          </cell>
          <cell r="O347">
            <v>800196.96</v>
          </cell>
          <cell r="P347">
            <v>819204.37</v>
          </cell>
          <cell r="Q347">
            <v>819000</v>
          </cell>
          <cell r="R347">
            <v>819000</v>
          </cell>
          <cell r="S347">
            <v>819000</v>
          </cell>
          <cell r="T347">
            <v>819000</v>
          </cell>
          <cell r="U347">
            <v>819000</v>
          </cell>
          <cell r="V347">
            <v>819000</v>
          </cell>
          <cell r="W347">
            <v>467000.35</v>
          </cell>
          <cell r="X347">
            <v>775000</v>
          </cell>
          <cell r="Y347">
            <v>775000</v>
          </cell>
          <cell r="Z347">
            <v>775000</v>
          </cell>
          <cell r="AA347">
            <v>718621.41</v>
          </cell>
          <cell r="AB347">
            <v>809000</v>
          </cell>
          <cell r="AC347">
            <v>809000</v>
          </cell>
          <cell r="AD347">
            <v>809000</v>
          </cell>
          <cell r="AE347">
            <v>809000</v>
          </cell>
          <cell r="AF347">
            <v>809000</v>
          </cell>
          <cell r="AG347">
            <v>809000</v>
          </cell>
          <cell r="AH347">
            <v>809000</v>
          </cell>
          <cell r="AI347">
            <v>809000</v>
          </cell>
          <cell r="AJ347">
            <v>809000</v>
          </cell>
          <cell r="AK347">
            <v>809000</v>
          </cell>
          <cell r="AL347">
            <v>399570.32</v>
          </cell>
          <cell r="AM347">
            <v>771779.1</v>
          </cell>
          <cell r="AN347">
            <v>876000</v>
          </cell>
          <cell r="AO347">
            <v>876000</v>
          </cell>
          <cell r="AP347">
            <v>876000</v>
          </cell>
          <cell r="AQ347">
            <v>876000</v>
          </cell>
          <cell r="AR347">
            <v>626000</v>
          </cell>
          <cell r="AS347">
            <v>826000</v>
          </cell>
          <cell r="AT347">
            <v>826000</v>
          </cell>
          <cell r="AU347">
            <v>684666.4</v>
          </cell>
          <cell r="AV347">
            <v>808333.3</v>
          </cell>
          <cell r="AW347">
            <v>808333.3</v>
          </cell>
          <cell r="AX347">
            <v>514410.1</v>
          </cell>
          <cell r="AY347">
            <v>781613.01</v>
          </cell>
          <cell r="AZ347">
            <v>943820</v>
          </cell>
          <cell r="BA347">
            <v>943820</v>
          </cell>
          <cell r="BB347">
            <v>943820</v>
          </cell>
          <cell r="BC347">
            <v>943820</v>
          </cell>
          <cell r="BD347">
            <v>943820</v>
          </cell>
          <cell r="BE347">
            <v>943820</v>
          </cell>
          <cell r="BF347">
            <v>943820</v>
          </cell>
          <cell r="BG347">
            <v>943820</v>
          </cell>
          <cell r="BH347">
            <v>943820</v>
          </cell>
          <cell r="BI347">
            <v>943820</v>
          </cell>
          <cell r="BJ347">
            <v>422195.93</v>
          </cell>
          <cell r="BK347">
            <v>896399.7</v>
          </cell>
          <cell r="BL347">
            <v>1063964</v>
          </cell>
          <cell r="BM347">
            <v>1063964</v>
          </cell>
          <cell r="BN347">
            <v>1063964</v>
          </cell>
          <cell r="BO347">
            <v>1063964</v>
          </cell>
          <cell r="BP347">
            <v>1063964</v>
          </cell>
          <cell r="BQ347">
            <v>1063964</v>
          </cell>
          <cell r="BR347">
            <v>1063964</v>
          </cell>
          <cell r="BS347">
            <v>552252</v>
          </cell>
          <cell r="BT347">
            <v>1000000</v>
          </cell>
          <cell r="BU347">
            <v>1000000</v>
          </cell>
          <cell r="BV347">
            <v>1000000</v>
          </cell>
          <cell r="BW347">
            <v>1033067.6</v>
          </cell>
          <cell r="BX347">
            <v>1159498</v>
          </cell>
          <cell r="BY347">
            <v>1159498</v>
          </cell>
          <cell r="BZ347">
            <v>1159498</v>
          </cell>
          <cell r="CA347">
            <v>1159498</v>
          </cell>
          <cell r="CB347">
            <v>1159498</v>
          </cell>
          <cell r="CC347">
            <v>1159498</v>
          </cell>
          <cell r="CD347">
            <v>1159498</v>
          </cell>
          <cell r="CE347">
            <v>1159498</v>
          </cell>
          <cell r="CF347">
            <v>1159498</v>
          </cell>
          <cell r="CG347">
            <v>1159498</v>
          </cell>
          <cell r="CH347">
            <v>662910.97</v>
          </cell>
          <cell r="CI347">
            <v>661943.87</v>
          </cell>
          <cell r="CJ347">
            <v>1232571.23</v>
          </cell>
          <cell r="CK347">
            <v>1232571.23</v>
          </cell>
          <cell r="CL347">
            <v>1232571.23</v>
          </cell>
          <cell r="CM347">
            <v>1232571.23</v>
          </cell>
          <cell r="CN347">
            <v>1232571.23</v>
          </cell>
          <cell r="CO347">
            <v>1232614.9099999999</v>
          </cell>
          <cell r="CP347">
            <v>1232571.23</v>
          </cell>
          <cell r="CQ347">
            <v>1232571.23</v>
          </cell>
          <cell r="CR347">
            <v>564430.73</v>
          </cell>
          <cell r="CS347">
            <v>1158333.3999999999</v>
          </cell>
          <cell r="CT347">
            <v>1158333.3999999999</v>
          </cell>
          <cell r="CU347">
            <v>1029673.84</v>
          </cell>
          <cell r="CV347">
            <v>1468499.19</v>
          </cell>
          <cell r="CW347">
            <v>1468499.19</v>
          </cell>
          <cell r="CX347">
            <v>1468499.19</v>
          </cell>
          <cell r="CY347">
            <v>1584100.99</v>
          </cell>
          <cell r="CZ347">
            <v>1526300.09</v>
          </cell>
          <cell r="DA347">
            <v>1526300.09</v>
          </cell>
          <cell r="DB347">
            <v>1526300.09</v>
          </cell>
          <cell r="DC347">
            <v>1526300.09</v>
          </cell>
          <cell r="DD347">
            <v>842701.08</v>
          </cell>
          <cell r="DE347">
            <v>1437500</v>
          </cell>
          <cell r="DF347">
            <v>1084423.19</v>
          </cell>
          <cell r="DG347">
            <v>1396088.82</v>
          </cell>
          <cell r="DH347">
            <v>16855512.009999998</v>
          </cell>
        </row>
        <row r="348">
          <cell r="A348" t="str">
            <v>6900049</v>
          </cell>
          <cell r="B348" t="str">
            <v>6900049</v>
          </cell>
          <cell r="C348" t="str">
            <v>TOTI - Payroll Tax Reclass</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-823.46</v>
          </cell>
          <cell r="DB348">
            <v>-1959.38</v>
          </cell>
          <cell r="DC348">
            <v>-572.96</v>
          </cell>
          <cell r="DD348">
            <v>-958.8</v>
          </cell>
          <cell r="DE348">
            <v>-1031.4100000000001</v>
          </cell>
          <cell r="DF348">
            <v>0</v>
          </cell>
          <cell r="DG348">
            <v>1519.08</v>
          </cell>
          <cell r="DH348">
            <v>-3826.9300000000003</v>
          </cell>
        </row>
        <row r="349">
          <cell r="A349" t="str">
            <v>6900061</v>
          </cell>
          <cell r="B349" t="str">
            <v>6900061</v>
          </cell>
          <cell r="C349" t="str">
            <v>TOTI-PropTx ATL GAAP</v>
          </cell>
          <cell r="AE349">
            <v>0</v>
          </cell>
          <cell r="AF349">
            <v>0</v>
          </cell>
          <cell r="AG349">
            <v>-29445</v>
          </cell>
          <cell r="AH349">
            <v>-9815</v>
          </cell>
          <cell r="AI349">
            <v>-9815</v>
          </cell>
          <cell r="AJ349">
            <v>-9815</v>
          </cell>
          <cell r="AK349">
            <v>-9815</v>
          </cell>
          <cell r="AL349">
            <v>-16677</v>
          </cell>
          <cell r="AM349">
            <v>-13246</v>
          </cell>
          <cell r="AN349">
            <v>-12834</v>
          </cell>
          <cell r="AO349">
            <v>-12835</v>
          </cell>
          <cell r="AP349">
            <v>-12835</v>
          </cell>
          <cell r="AQ349">
            <v>-12835</v>
          </cell>
          <cell r="AR349">
            <v>-12835</v>
          </cell>
          <cell r="AS349">
            <v>-12835</v>
          </cell>
          <cell r="AT349">
            <v>-12835</v>
          </cell>
          <cell r="AU349">
            <v>-12835</v>
          </cell>
          <cell r="AV349">
            <v>-12835</v>
          </cell>
          <cell r="AW349">
            <v>-12835</v>
          </cell>
          <cell r="AX349">
            <v>-12835</v>
          </cell>
          <cell r="AY349">
            <v>-12835</v>
          </cell>
          <cell r="AZ349">
            <v>-12173</v>
          </cell>
          <cell r="BA349">
            <v>-12173</v>
          </cell>
          <cell r="BB349">
            <v>-12173</v>
          </cell>
          <cell r="BC349">
            <v>-12173</v>
          </cell>
          <cell r="BD349">
            <v>-12173</v>
          </cell>
          <cell r="BE349">
            <v>-12167</v>
          </cell>
          <cell r="BF349">
            <v>-12172</v>
          </cell>
          <cell r="BG349">
            <v>-12173</v>
          </cell>
          <cell r="BH349">
            <v>-12173</v>
          </cell>
          <cell r="BI349">
            <v>-12173</v>
          </cell>
          <cell r="BJ349">
            <v>-12173</v>
          </cell>
          <cell r="BK349">
            <v>-12173</v>
          </cell>
          <cell r="BL349">
            <v>-11510</v>
          </cell>
          <cell r="BM349">
            <v>-11510</v>
          </cell>
          <cell r="BN349">
            <v>-11510</v>
          </cell>
          <cell r="BO349">
            <v>-11510</v>
          </cell>
          <cell r="BP349">
            <v>-11510</v>
          </cell>
          <cell r="BQ349">
            <v>-11510</v>
          </cell>
          <cell r="BR349">
            <v>-11510</v>
          </cell>
          <cell r="BS349">
            <v>-11510</v>
          </cell>
          <cell r="BT349">
            <v>-11510</v>
          </cell>
          <cell r="BU349">
            <v>-11510</v>
          </cell>
          <cell r="BV349">
            <v>-11510</v>
          </cell>
          <cell r="BW349">
            <v>-11510</v>
          </cell>
          <cell r="BX349">
            <v>-10849</v>
          </cell>
          <cell r="BY349">
            <v>-10849</v>
          </cell>
          <cell r="BZ349">
            <v>-10849</v>
          </cell>
          <cell r="CA349">
            <v>-10849</v>
          </cell>
          <cell r="CB349">
            <v>-10849</v>
          </cell>
          <cell r="CC349">
            <v>-10849</v>
          </cell>
          <cell r="CD349">
            <v>-10849</v>
          </cell>
          <cell r="CE349">
            <v>-10849</v>
          </cell>
          <cell r="CF349">
            <v>-10849</v>
          </cell>
          <cell r="CG349">
            <v>-10849</v>
          </cell>
          <cell r="CH349">
            <v>-10849</v>
          </cell>
          <cell r="CI349">
            <v>-10849</v>
          </cell>
          <cell r="CJ349">
            <v>-10186</v>
          </cell>
          <cell r="CK349">
            <v>-10186</v>
          </cell>
          <cell r="CL349">
            <v>-10186</v>
          </cell>
          <cell r="CM349">
            <v>-10186</v>
          </cell>
          <cell r="CN349">
            <v>-10186</v>
          </cell>
          <cell r="CO349">
            <v>-10186</v>
          </cell>
          <cell r="CP349">
            <v>-10186</v>
          </cell>
          <cell r="CQ349">
            <v>-10186</v>
          </cell>
          <cell r="CR349">
            <v>-10186</v>
          </cell>
          <cell r="CS349">
            <v>-10186</v>
          </cell>
          <cell r="CT349">
            <v>-10186</v>
          </cell>
          <cell r="CU349">
            <v>-10186</v>
          </cell>
          <cell r="CV349">
            <v>-9524</v>
          </cell>
          <cell r="CW349">
            <v>-9524</v>
          </cell>
          <cell r="CX349">
            <v>-9524</v>
          </cell>
          <cell r="CY349">
            <v>-6993</v>
          </cell>
          <cell r="CZ349">
            <v>-6993</v>
          </cell>
          <cell r="DA349">
            <v>-6993</v>
          </cell>
          <cell r="DB349">
            <v>-6993</v>
          </cell>
          <cell r="DC349">
            <v>0</v>
          </cell>
          <cell r="DD349">
            <v>0</v>
          </cell>
          <cell r="DE349">
            <v>0</v>
          </cell>
          <cell r="DF349">
            <v>0</v>
          </cell>
          <cell r="DG349">
            <v>0</v>
          </cell>
          <cell r="DH349">
            <v>-56544</v>
          </cell>
        </row>
        <row r="350">
          <cell r="A350" t="str">
            <v>6900070</v>
          </cell>
          <cell r="B350" t="str">
            <v>6900070</v>
          </cell>
          <cell r="C350" t="str">
            <v>TOTI-Reg Assess Fee</v>
          </cell>
          <cell r="D350">
            <v>190106.41</v>
          </cell>
          <cell r="E350">
            <v>178244.85</v>
          </cell>
          <cell r="F350">
            <v>152307.96</v>
          </cell>
          <cell r="G350">
            <v>136766.87</v>
          </cell>
          <cell r="H350">
            <v>125067.01</v>
          </cell>
          <cell r="I350">
            <v>115244.77</v>
          </cell>
          <cell r="J350">
            <v>111157.89</v>
          </cell>
          <cell r="K350">
            <v>104862.12</v>
          </cell>
          <cell r="L350">
            <v>138566.35999999999</v>
          </cell>
          <cell r="M350">
            <v>79139.25</v>
          </cell>
          <cell r="N350">
            <v>118099.26</v>
          </cell>
          <cell r="O350">
            <v>190104.65</v>
          </cell>
          <cell r="P350">
            <v>173194.35</v>
          </cell>
          <cell r="Q350">
            <v>172300.56</v>
          </cell>
          <cell r="R350">
            <v>165117.4</v>
          </cell>
          <cell r="S350">
            <v>128986.18</v>
          </cell>
          <cell r="T350">
            <v>136626.10999999999</v>
          </cell>
          <cell r="U350">
            <v>122925.82</v>
          </cell>
          <cell r="V350">
            <v>120321.46</v>
          </cell>
          <cell r="W350">
            <v>115236.63</v>
          </cell>
          <cell r="X350">
            <v>126306.09</v>
          </cell>
          <cell r="Y350">
            <v>123591.56</v>
          </cell>
          <cell r="Z350">
            <v>128782.04</v>
          </cell>
          <cell r="AA350">
            <v>155270.85</v>
          </cell>
          <cell r="AB350">
            <v>165747.07</v>
          </cell>
          <cell r="AC350">
            <v>184487.17</v>
          </cell>
          <cell r="AD350">
            <v>161719.97</v>
          </cell>
          <cell r="AE350">
            <v>145017.46</v>
          </cell>
          <cell r="AF350">
            <v>134033.91</v>
          </cell>
          <cell r="AG350">
            <v>147424.18</v>
          </cell>
          <cell r="AH350">
            <v>135357.71</v>
          </cell>
          <cell r="AI350">
            <v>147344.25</v>
          </cell>
          <cell r="AJ350">
            <v>142040.09</v>
          </cell>
          <cell r="AK350">
            <v>140638.31</v>
          </cell>
          <cell r="AL350">
            <v>139655.96</v>
          </cell>
          <cell r="AM350">
            <v>139422.57</v>
          </cell>
          <cell r="AN350">
            <v>164471.87</v>
          </cell>
          <cell r="AO350">
            <v>163845.14000000001</v>
          </cell>
          <cell r="AP350">
            <v>153868.12</v>
          </cell>
          <cell r="AQ350">
            <v>151260.76999999999</v>
          </cell>
          <cell r="AR350">
            <v>146118.57999999999</v>
          </cell>
          <cell r="AS350">
            <v>137944.79</v>
          </cell>
          <cell r="AT350">
            <v>127049.95</v>
          </cell>
          <cell r="AU350">
            <v>131260.43</v>
          </cell>
          <cell r="AV350">
            <v>138190.48000000001</v>
          </cell>
          <cell r="AW350">
            <v>131213.89000000001</v>
          </cell>
          <cell r="AX350">
            <v>148033.01</v>
          </cell>
          <cell r="AY350">
            <v>173217.98</v>
          </cell>
          <cell r="AZ350">
            <v>224566.48</v>
          </cell>
          <cell r="BA350">
            <v>208661.42</v>
          </cell>
          <cell r="BB350">
            <v>168561.81</v>
          </cell>
          <cell r="BC350">
            <v>173036.45</v>
          </cell>
          <cell r="BD350">
            <v>151341.87</v>
          </cell>
          <cell r="BE350">
            <v>148590.45000000001</v>
          </cell>
          <cell r="BF350">
            <v>141468.37</v>
          </cell>
          <cell r="BG350">
            <v>149505</v>
          </cell>
          <cell r="BH350">
            <v>149474.21</v>
          </cell>
          <cell r="BI350">
            <v>139261.81</v>
          </cell>
          <cell r="BJ350">
            <v>150265.22</v>
          </cell>
          <cell r="BK350">
            <v>178957.13</v>
          </cell>
          <cell r="BL350">
            <v>192312.36</v>
          </cell>
          <cell r="BM350">
            <v>192561.32</v>
          </cell>
          <cell r="BN350">
            <v>173146.54</v>
          </cell>
          <cell r="BO350">
            <v>166352.44</v>
          </cell>
          <cell r="BP350">
            <v>156239.94</v>
          </cell>
          <cell r="BQ350">
            <v>144986.88</v>
          </cell>
          <cell r="BR350">
            <v>138172.34</v>
          </cell>
          <cell r="BS350">
            <v>132512.26</v>
          </cell>
          <cell r="BT350">
            <v>136917.5</v>
          </cell>
          <cell r="BU350">
            <v>141768.03</v>
          </cell>
          <cell r="BV350">
            <v>141768.03</v>
          </cell>
          <cell r="BW350">
            <v>176726.28</v>
          </cell>
          <cell r="BX350">
            <v>194367.62</v>
          </cell>
          <cell r="BY350">
            <v>188167.73</v>
          </cell>
          <cell r="BZ350">
            <v>177744.29</v>
          </cell>
          <cell r="CA350">
            <v>131900.16</v>
          </cell>
          <cell r="CB350">
            <v>140744.25</v>
          </cell>
          <cell r="CC350">
            <v>137373.29999999999</v>
          </cell>
          <cell r="CD350">
            <v>151799.5</v>
          </cell>
          <cell r="CE350">
            <v>133983.67000000001</v>
          </cell>
          <cell r="CF350">
            <v>127094.12</v>
          </cell>
          <cell r="CG350">
            <v>135590.22</v>
          </cell>
          <cell r="CH350">
            <v>148605.32</v>
          </cell>
          <cell r="CI350">
            <v>178741.87</v>
          </cell>
          <cell r="CJ350">
            <v>247852.69</v>
          </cell>
          <cell r="CK350">
            <v>233717.86</v>
          </cell>
          <cell r="CL350">
            <v>210269.24</v>
          </cell>
          <cell r="CM350">
            <v>213234.81</v>
          </cell>
          <cell r="CN350">
            <v>187290.12</v>
          </cell>
          <cell r="CO350">
            <v>180968.28</v>
          </cell>
          <cell r="CP350">
            <v>172135.59</v>
          </cell>
          <cell r="CQ350">
            <v>162802.17000000001</v>
          </cell>
          <cell r="CR350">
            <v>170596.77</v>
          </cell>
          <cell r="CS350">
            <v>169604.49</v>
          </cell>
          <cell r="CT350">
            <v>206204.79999999999</v>
          </cell>
          <cell r="CU350">
            <v>224752.08</v>
          </cell>
          <cell r="CV350">
            <v>254295.39</v>
          </cell>
          <cell r="CW350">
            <v>285930.43</v>
          </cell>
          <cell r="CX350">
            <v>254830.35</v>
          </cell>
          <cell r="CY350">
            <v>240871.56</v>
          </cell>
          <cell r="CZ350">
            <v>229510.57</v>
          </cell>
          <cell r="DA350">
            <v>227147.19</v>
          </cell>
          <cell r="DB350">
            <v>207906.27</v>
          </cell>
          <cell r="DC350">
            <v>242009.04</v>
          </cell>
          <cell r="DD350">
            <v>237417.8</v>
          </cell>
          <cell r="DE350">
            <v>241857.75</v>
          </cell>
          <cell r="DF350">
            <v>210034.16</v>
          </cell>
          <cell r="DG350">
            <v>235251.06</v>
          </cell>
          <cell r="DH350">
            <v>2867061.5700000003</v>
          </cell>
        </row>
        <row r="351">
          <cell r="A351" t="str">
            <v>6900110</v>
          </cell>
          <cell r="B351" t="str">
            <v>6900110</v>
          </cell>
          <cell r="C351" t="str">
            <v>TOTI-Fed Excise Tax</v>
          </cell>
          <cell r="D351">
            <v>0</v>
          </cell>
          <cell r="E351">
            <v>0</v>
          </cell>
          <cell r="F351">
            <v>0</v>
          </cell>
          <cell r="G351">
            <v>0</v>
          </cell>
          <cell r="H351">
            <v>0</v>
          </cell>
          <cell r="I351">
            <v>0</v>
          </cell>
          <cell r="J351">
            <v>7215.96</v>
          </cell>
          <cell r="K351">
            <v>0</v>
          </cell>
          <cell r="L351">
            <v>0</v>
          </cell>
          <cell r="M351">
            <v>952.88</v>
          </cell>
          <cell r="N351">
            <v>457.92</v>
          </cell>
          <cell r="O351">
            <v>52.11</v>
          </cell>
          <cell r="P351">
            <v>35.409999999999997</v>
          </cell>
          <cell r="Q351">
            <v>31.04</v>
          </cell>
          <cell r="R351">
            <v>69.03</v>
          </cell>
          <cell r="S351">
            <v>34.51</v>
          </cell>
          <cell r="T351">
            <v>78.75</v>
          </cell>
          <cell r="U351">
            <v>88.8</v>
          </cell>
          <cell r="V351">
            <v>6942.84</v>
          </cell>
          <cell r="W351">
            <v>196.84</v>
          </cell>
          <cell r="X351">
            <v>84.23</v>
          </cell>
          <cell r="Y351">
            <v>68.84</v>
          </cell>
          <cell r="Z351">
            <v>108.74</v>
          </cell>
          <cell r="AA351">
            <v>87.47</v>
          </cell>
          <cell r="AB351">
            <v>147.63</v>
          </cell>
          <cell r="AC351">
            <v>199.82</v>
          </cell>
          <cell r="AD351">
            <v>98.15</v>
          </cell>
          <cell r="AE351">
            <v>146.15</v>
          </cell>
          <cell r="AF351">
            <v>104.3</v>
          </cell>
          <cell r="AG351">
            <v>90.16</v>
          </cell>
          <cell r="AH351">
            <v>6995.76</v>
          </cell>
          <cell r="AI351">
            <v>137.41</v>
          </cell>
          <cell r="AJ351">
            <v>115.81</v>
          </cell>
          <cell r="AK351">
            <v>118.04</v>
          </cell>
          <cell r="AL351">
            <v>83.8</v>
          </cell>
          <cell r="AM351">
            <v>107.66</v>
          </cell>
          <cell r="AN351">
            <v>104.6</v>
          </cell>
          <cell r="AO351">
            <v>124.94</v>
          </cell>
          <cell r="AP351">
            <v>75.5</v>
          </cell>
          <cell r="AQ351">
            <v>85.09</v>
          </cell>
          <cell r="AR351">
            <v>6684.51</v>
          </cell>
          <cell r="AS351">
            <v>54.77</v>
          </cell>
          <cell r="AT351">
            <v>0</v>
          </cell>
          <cell r="AU351">
            <v>73.52</v>
          </cell>
          <cell r="AV351">
            <v>-3658.45</v>
          </cell>
          <cell r="AW351">
            <v>185.56</v>
          </cell>
          <cell r="AX351">
            <v>47.37</v>
          </cell>
          <cell r="AY351">
            <v>59.55</v>
          </cell>
          <cell r="AZ351">
            <v>62.92</v>
          </cell>
          <cell r="BA351">
            <v>68.86</v>
          </cell>
          <cell r="BB351">
            <v>45.11</v>
          </cell>
          <cell r="BC351">
            <v>46.04</v>
          </cell>
          <cell r="BD351">
            <v>62.64</v>
          </cell>
          <cell r="BE351">
            <v>54.74</v>
          </cell>
          <cell r="BF351">
            <v>60.52</v>
          </cell>
          <cell r="BG351">
            <v>40.700000000000003</v>
          </cell>
          <cell r="BH351">
            <v>59.49</v>
          </cell>
          <cell r="BI351">
            <v>15.74</v>
          </cell>
          <cell r="BJ351">
            <v>35.17</v>
          </cell>
          <cell r="BK351">
            <v>56</v>
          </cell>
          <cell r="BL351">
            <v>23.16</v>
          </cell>
          <cell r="BM351">
            <v>25.5</v>
          </cell>
          <cell r="BN351">
            <v>33.700000000000003</v>
          </cell>
          <cell r="BO351">
            <v>12.41</v>
          </cell>
          <cell r="BP351">
            <v>12.6</v>
          </cell>
          <cell r="BQ351">
            <v>6.27</v>
          </cell>
          <cell r="BR351">
            <v>13.49</v>
          </cell>
          <cell r="BS351">
            <v>16.920000000000002</v>
          </cell>
          <cell r="BT351">
            <v>1.48</v>
          </cell>
          <cell r="BU351">
            <v>20.73</v>
          </cell>
          <cell r="BV351">
            <v>8.58</v>
          </cell>
          <cell r="BW351">
            <v>19.71</v>
          </cell>
          <cell r="BX351">
            <v>16.170000000000002</v>
          </cell>
          <cell r="BY351">
            <v>11.85</v>
          </cell>
          <cell r="BZ351">
            <v>10.37</v>
          </cell>
          <cell r="CA351">
            <v>23.7</v>
          </cell>
          <cell r="CB351">
            <v>3.26</v>
          </cell>
          <cell r="CC351">
            <v>50.35</v>
          </cell>
          <cell r="CD351">
            <v>35.54</v>
          </cell>
          <cell r="CE351">
            <v>2.15</v>
          </cell>
          <cell r="CF351">
            <v>1.48</v>
          </cell>
          <cell r="CG351">
            <v>3.29</v>
          </cell>
          <cell r="CH351">
            <v>0</v>
          </cell>
          <cell r="CI351">
            <v>27.21</v>
          </cell>
          <cell r="CJ351">
            <v>13.33</v>
          </cell>
          <cell r="CK351">
            <v>1.64</v>
          </cell>
          <cell r="CL351">
            <v>7.4</v>
          </cell>
          <cell r="CM351">
            <v>-1.17</v>
          </cell>
          <cell r="CN351">
            <v>8.89</v>
          </cell>
          <cell r="CO351">
            <v>6.78</v>
          </cell>
          <cell r="CP351">
            <v>5.92</v>
          </cell>
          <cell r="CQ351">
            <v>12.66</v>
          </cell>
          <cell r="CR351">
            <v>5.31</v>
          </cell>
          <cell r="CS351">
            <v>2.35</v>
          </cell>
          <cell r="CT351">
            <v>8.14</v>
          </cell>
          <cell r="CU351">
            <v>0</v>
          </cell>
          <cell r="CV351">
            <v>18.95</v>
          </cell>
          <cell r="CW351">
            <v>3.54</v>
          </cell>
          <cell r="CX351">
            <v>4.4400000000000004</v>
          </cell>
          <cell r="CY351">
            <v>4.74</v>
          </cell>
          <cell r="CZ351">
            <v>0</v>
          </cell>
          <cell r="DA351">
            <v>4.4400000000000004</v>
          </cell>
          <cell r="DB351">
            <v>0</v>
          </cell>
          <cell r="DC351">
            <v>1.48</v>
          </cell>
          <cell r="DD351">
            <v>23.17</v>
          </cell>
          <cell r="DE351">
            <v>0</v>
          </cell>
          <cell r="DF351">
            <v>11.24</v>
          </cell>
          <cell r="DG351">
            <v>7.68</v>
          </cell>
          <cell r="DH351">
            <v>79.680000000000007</v>
          </cell>
        </row>
        <row r="352">
          <cell r="A352" t="str">
            <v>6900120</v>
          </cell>
          <cell r="B352" t="str">
            <v>6900120</v>
          </cell>
          <cell r="C352" t="str">
            <v>TOTI-CntyCityBusiLic</v>
          </cell>
          <cell r="D352">
            <v>60</v>
          </cell>
          <cell r="E352">
            <v>0</v>
          </cell>
          <cell r="F352">
            <v>0</v>
          </cell>
          <cell r="G352">
            <v>1477.5</v>
          </cell>
          <cell r="H352">
            <v>0</v>
          </cell>
          <cell r="I352">
            <v>0</v>
          </cell>
          <cell r="J352">
            <v>2699.64</v>
          </cell>
          <cell r="K352">
            <v>6603.05</v>
          </cell>
          <cell r="L352">
            <v>3660.93</v>
          </cell>
          <cell r="M352">
            <v>356.15</v>
          </cell>
          <cell r="N352">
            <v>0</v>
          </cell>
          <cell r="O352">
            <v>108.08</v>
          </cell>
          <cell r="P352">
            <v>0</v>
          </cell>
          <cell r="Q352">
            <v>0</v>
          </cell>
          <cell r="R352">
            <v>0</v>
          </cell>
          <cell r="S352">
            <v>0</v>
          </cell>
          <cell r="T352">
            <v>440.5</v>
          </cell>
          <cell r="U352">
            <v>0</v>
          </cell>
          <cell r="V352">
            <v>2624.64</v>
          </cell>
          <cell r="W352">
            <v>6257.35</v>
          </cell>
          <cell r="X352">
            <v>1398.43</v>
          </cell>
          <cell r="Y352">
            <v>216.15</v>
          </cell>
          <cell r="Z352">
            <v>0</v>
          </cell>
          <cell r="AA352">
            <v>270</v>
          </cell>
          <cell r="AB352">
            <v>108.08</v>
          </cell>
          <cell r="AC352">
            <v>0</v>
          </cell>
          <cell r="AD352">
            <v>-27</v>
          </cell>
          <cell r="AE352">
            <v>0</v>
          </cell>
          <cell r="AF352">
            <v>0</v>
          </cell>
          <cell r="AG352">
            <v>477.9</v>
          </cell>
          <cell r="AH352">
            <v>2441.0100000000002</v>
          </cell>
          <cell r="AI352">
            <v>6361.43</v>
          </cell>
          <cell r="AJ352">
            <v>1258.43</v>
          </cell>
          <cell r="AK352">
            <v>203.5</v>
          </cell>
          <cell r="AL352">
            <v>0</v>
          </cell>
          <cell r="AM352">
            <v>183.63</v>
          </cell>
          <cell r="AN352">
            <v>0</v>
          </cell>
          <cell r="AO352">
            <v>60</v>
          </cell>
          <cell r="AP352">
            <v>1968.76</v>
          </cell>
          <cell r="AQ352">
            <v>0</v>
          </cell>
          <cell r="AR352">
            <v>445</v>
          </cell>
          <cell r="AS352">
            <v>479.35</v>
          </cell>
          <cell r="AT352">
            <v>156.63</v>
          </cell>
          <cell r="AU352">
            <v>9329.69</v>
          </cell>
          <cell r="AV352">
            <v>590.03</v>
          </cell>
          <cell r="AW352">
            <v>817.74</v>
          </cell>
          <cell r="AX352">
            <v>0</v>
          </cell>
          <cell r="AY352">
            <v>222</v>
          </cell>
          <cell r="AZ352">
            <v>0</v>
          </cell>
          <cell r="BA352">
            <v>60</v>
          </cell>
          <cell r="BB352">
            <v>0</v>
          </cell>
          <cell r="BC352">
            <v>111</v>
          </cell>
          <cell r="BD352">
            <v>0</v>
          </cell>
          <cell r="BE352">
            <v>479.35</v>
          </cell>
          <cell r="BF352">
            <v>0</v>
          </cell>
          <cell r="BG352">
            <v>6558.83</v>
          </cell>
          <cell r="BH352">
            <v>3679.51</v>
          </cell>
          <cell r="BI352">
            <v>3391.1</v>
          </cell>
          <cell r="BJ352">
            <v>222</v>
          </cell>
          <cell r="BK352">
            <v>-111</v>
          </cell>
          <cell r="BL352">
            <v>0</v>
          </cell>
          <cell r="BM352">
            <v>58.75</v>
          </cell>
          <cell r="BN352">
            <v>0</v>
          </cell>
          <cell r="BO352">
            <v>0</v>
          </cell>
          <cell r="BP352">
            <v>0</v>
          </cell>
          <cell r="BQ352">
            <v>479.35</v>
          </cell>
          <cell r="BR352">
            <v>0</v>
          </cell>
          <cell r="BS352">
            <v>5769.74</v>
          </cell>
          <cell r="BT352">
            <v>798.51</v>
          </cell>
          <cell r="BU352">
            <v>29.5</v>
          </cell>
          <cell r="BV352">
            <v>222</v>
          </cell>
          <cell r="BW352">
            <v>90</v>
          </cell>
          <cell r="BX352">
            <v>0</v>
          </cell>
          <cell r="BY352">
            <v>0</v>
          </cell>
          <cell r="BZ352">
            <v>0</v>
          </cell>
          <cell r="CA352">
            <v>0</v>
          </cell>
          <cell r="CB352">
            <v>0</v>
          </cell>
          <cell r="CC352">
            <v>1588.74</v>
          </cell>
          <cell r="CD352">
            <v>258.94</v>
          </cell>
          <cell r="CE352">
            <v>7780.68</v>
          </cell>
          <cell r="CF352">
            <v>4174.59</v>
          </cell>
          <cell r="CG352">
            <v>2515.35</v>
          </cell>
          <cell r="CH352">
            <v>231.11</v>
          </cell>
          <cell r="CI352">
            <v>249.56</v>
          </cell>
          <cell r="CJ352">
            <v>-9.11</v>
          </cell>
          <cell r="CK352">
            <v>52.7</v>
          </cell>
          <cell r="CL352">
            <v>-222</v>
          </cell>
          <cell r="CM352">
            <v>115.55</v>
          </cell>
          <cell r="CN352">
            <v>0</v>
          </cell>
          <cell r="CO352">
            <v>0</v>
          </cell>
          <cell r="CP352">
            <v>2681.32</v>
          </cell>
          <cell r="CQ352">
            <v>860.82</v>
          </cell>
          <cell r="CR352">
            <v>7777.6</v>
          </cell>
          <cell r="CS352">
            <v>0</v>
          </cell>
          <cell r="CT352">
            <v>231.11</v>
          </cell>
          <cell r="CU352">
            <v>0</v>
          </cell>
          <cell r="CV352">
            <v>-1527.5</v>
          </cell>
          <cell r="CW352">
            <v>-800</v>
          </cell>
          <cell r="CX352">
            <v>0</v>
          </cell>
          <cell r="CY352">
            <v>0</v>
          </cell>
          <cell r="CZ352">
            <v>0</v>
          </cell>
          <cell r="DA352">
            <v>0</v>
          </cell>
          <cell r="DB352">
            <v>1125.32</v>
          </cell>
          <cell r="DC352">
            <v>7466.12</v>
          </cell>
          <cell r="DD352">
            <v>4321.82</v>
          </cell>
          <cell r="DE352">
            <v>0</v>
          </cell>
          <cell r="DF352">
            <v>130.25</v>
          </cell>
          <cell r="DG352">
            <v>0</v>
          </cell>
          <cell r="DH352">
            <v>10716.009999999998</v>
          </cell>
        </row>
        <row r="353">
          <cell r="A353" t="str">
            <v>6900800</v>
          </cell>
          <cell r="B353" t="str">
            <v>6900800</v>
          </cell>
          <cell r="C353" t="str">
            <v>TOTI-Other</v>
          </cell>
          <cell r="D353">
            <v>-48807.46</v>
          </cell>
          <cell r="E353">
            <v>-135451.97</v>
          </cell>
          <cell r="F353">
            <v>26239.97</v>
          </cell>
          <cell r="G353">
            <v>-49930.37</v>
          </cell>
          <cell r="H353">
            <v>-50384.11</v>
          </cell>
          <cell r="I353">
            <v>-73813.75</v>
          </cell>
          <cell r="J353">
            <v>-50214</v>
          </cell>
          <cell r="K353">
            <v>-46647.73</v>
          </cell>
          <cell r="L353">
            <v>-47126.080000000002</v>
          </cell>
          <cell r="M353">
            <v>-48863.56</v>
          </cell>
          <cell r="N353">
            <v>-77853.850000000006</v>
          </cell>
          <cell r="O353">
            <v>-57133.2</v>
          </cell>
          <cell r="P353">
            <v>-72703.97</v>
          </cell>
          <cell r="Q353">
            <v>-99341.82</v>
          </cell>
          <cell r="R353">
            <v>-13501</v>
          </cell>
          <cell r="S353">
            <v>-40207.870000000003</v>
          </cell>
          <cell r="T353">
            <v>-76809.13</v>
          </cell>
          <cell r="U353">
            <v>-51572.54</v>
          </cell>
          <cell r="V353">
            <v>-50648.4</v>
          </cell>
          <cell r="W353">
            <v>-47570.07</v>
          </cell>
          <cell r="X353">
            <v>-47788.87</v>
          </cell>
          <cell r="Y353">
            <v>-43464.05</v>
          </cell>
          <cell r="Z353">
            <v>-65706.25</v>
          </cell>
          <cell r="AA353">
            <v>4059.48</v>
          </cell>
          <cell r="AB353">
            <v>-58793.55</v>
          </cell>
          <cell r="AC353">
            <v>-51020.78</v>
          </cell>
          <cell r="AD353">
            <v>-45462.78</v>
          </cell>
          <cell r="AE353">
            <v>-81814.990000000005</v>
          </cell>
          <cell r="AF353">
            <v>-52247.46</v>
          </cell>
          <cell r="AG353">
            <v>-53660.31</v>
          </cell>
          <cell r="AH353">
            <v>-54460.23</v>
          </cell>
          <cell r="AI353">
            <v>-53419.55</v>
          </cell>
          <cell r="AJ353">
            <v>-57056.12</v>
          </cell>
          <cell r="AK353">
            <v>-82980.44</v>
          </cell>
          <cell r="AL353">
            <v>-59035.56</v>
          </cell>
          <cell r="AM353">
            <v>-55504.7</v>
          </cell>
          <cell r="AN353">
            <v>-58906.95</v>
          </cell>
          <cell r="AO353">
            <v>-83863.98</v>
          </cell>
          <cell r="AP353">
            <v>-76884.14</v>
          </cell>
          <cell r="AQ353">
            <v>-106902.41</v>
          </cell>
          <cell r="AR353">
            <v>-71244.31</v>
          </cell>
          <cell r="AS353">
            <v>-72504.41</v>
          </cell>
          <cell r="AT353">
            <v>-68967.7</v>
          </cell>
          <cell r="AU353">
            <v>-79966.899999999994</v>
          </cell>
          <cell r="AV353">
            <v>-108577.48</v>
          </cell>
          <cell r="AW353">
            <v>-80500.08</v>
          </cell>
          <cell r="AX353">
            <v>-70659.77</v>
          </cell>
          <cell r="AY353">
            <v>224152.95999999999</v>
          </cell>
          <cell r="AZ353">
            <v>-68162.259999999995</v>
          </cell>
          <cell r="BA353">
            <v>-79551.72</v>
          </cell>
          <cell r="BB353">
            <v>-285132.02</v>
          </cell>
          <cell r="BC353">
            <v>-111216.47</v>
          </cell>
          <cell r="BD353">
            <v>-74994.649999999994</v>
          </cell>
          <cell r="BE353">
            <v>-72823.820000000007</v>
          </cell>
          <cell r="BF353">
            <v>-77567.86</v>
          </cell>
          <cell r="BG353">
            <v>-75004.320000000007</v>
          </cell>
          <cell r="BH353">
            <v>-126087.66</v>
          </cell>
          <cell r="BI353">
            <v>-84472.6</v>
          </cell>
          <cell r="BJ353">
            <v>-118922.82</v>
          </cell>
          <cell r="BK353">
            <v>-132921.5</v>
          </cell>
          <cell r="BL353">
            <v>-89597.69</v>
          </cell>
          <cell r="BM353">
            <v>-143198.71</v>
          </cell>
          <cell r="BN353">
            <v>-86987.67</v>
          </cell>
          <cell r="BO353">
            <v>-88912.93</v>
          </cell>
          <cell r="BP353">
            <v>-82749.179999999993</v>
          </cell>
          <cell r="BQ353">
            <v>-86852.22</v>
          </cell>
          <cell r="BR353">
            <v>-88517.45</v>
          </cell>
          <cell r="BS353">
            <v>-79630.81</v>
          </cell>
          <cell r="BT353">
            <v>-123013.92</v>
          </cell>
          <cell r="BU353">
            <v>-82046.87</v>
          </cell>
          <cell r="BV353">
            <v>-83007.97</v>
          </cell>
          <cell r="BW353">
            <v>-86679.39</v>
          </cell>
          <cell r="BX353">
            <v>-85530.95</v>
          </cell>
          <cell r="BY353">
            <v>-144480.37</v>
          </cell>
          <cell r="BZ353">
            <v>-92741.06</v>
          </cell>
          <cell r="CA353">
            <v>-101081.49</v>
          </cell>
          <cell r="CB353">
            <v>-89042.34</v>
          </cell>
          <cell r="CC353">
            <v>-94202.240000000005</v>
          </cell>
          <cell r="CD353">
            <v>-91517.53</v>
          </cell>
          <cell r="CE353">
            <v>-133633.17000000001</v>
          </cell>
          <cell r="CF353">
            <v>-86124.87</v>
          </cell>
          <cell r="CG353">
            <v>-89387.31</v>
          </cell>
          <cell r="CH353">
            <v>-87022.04</v>
          </cell>
          <cell r="CI353">
            <v>-95069.18</v>
          </cell>
          <cell r="CJ353">
            <v>-138043.67000000001</v>
          </cell>
          <cell r="CK353">
            <v>-102209.32</v>
          </cell>
          <cell r="CL353">
            <v>-107357.14</v>
          </cell>
          <cell r="CM353">
            <v>-116516.81</v>
          </cell>
          <cell r="CN353">
            <v>-99684.93</v>
          </cell>
          <cell r="CO353">
            <v>-100875.61</v>
          </cell>
          <cell r="CP353">
            <v>-98293.92</v>
          </cell>
          <cell r="CQ353">
            <v>-143614.45000000001</v>
          </cell>
          <cell r="CR353">
            <v>-93135.22</v>
          </cell>
          <cell r="CS353">
            <v>-199137.48</v>
          </cell>
          <cell r="CT353">
            <v>-103963.92</v>
          </cell>
          <cell r="CU353">
            <v>-100772.44</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row>
        <row r="354">
          <cell r="A354" t="str">
            <v>6909000</v>
          </cell>
          <cell r="B354" t="str">
            <v>6909000</v>
          </cell>
          <cell r="C354" t="str">
            <v>TOTI to BalSheet</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-132.04</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-466.55</v>
          </cell>
          <cell r="BJ354">
            <v>-508.49</v>
          </cell>
          <cell r="BK354">
            <v>-2364.2199999999998</v>
          </cell>
          <cell r="BL354">
            <v>-579.83000000000004</v>
          </cell>
          <cell r="BM354">
            <v>-542.4</v>
          </cell>
          <cell r="BN354">
            <v>-652.21</v>
          </cell>
          <cell r="BO354">
            <v>0</v>
          </cell>
          <cell r="BP354">
            <v>-1110.1300000000001</v>
          </cell>
          <cell r="BQ354">
            <v>-628.77</v>
          </cell>
          <cell r="BR354">
            <v>-3561.03</v>
          </cell>
          <cell r="BS354">
            <v>-704.42</v>
          </cell>
          <cell r="BT354">
            <v>-532.71</v>
          </cell>
          <cell r="BU354">
            <v>-529.86</v>
          </cell>
          <cell r="BV354">
            <v>-968.45</v>
          </cell>
          <cell r="BW354">
            <v>-719.94</v>
          </cell>
          <cell r="BX354">
            <v>-656.46</v>
          </cell>
          <cell r="BY354">
            <v>-764.45</v>
          </cell>
          <cell r="BZ354">
            <v>-831.41</v>
          </cell>
          <cell r="CA354">
            <v>-874.03</v>
          </cell>
          <cell r="CB354">
            <v>-609.95000000000005</v>
          </cell>
          <cell r="CC354">
            <v>-877.36</v>
          </cell>
          <cell r="CD354">
            <v>-1016.21</v>
          </cell>
          <cell r="CE354">
            <v>-846.46</v>
          </cell>
          <cell r="CF354">
            <v>-3980.39</v>
          </cell>
          <cell r="CG354">
            <v>-874.57</v>
          </cell>
          <cell r="CH354">
            <v>-903.72</v>
          </cell>
          <cell r="CI354">
            <v>-922.74</v>
          </cell>
          <cell r="CJ354">
            <v>-750.94</v>
          </cell>
          <cell r="CK354">
            <v>-812.96</v>
          </cell>
          <cell r="CL354">
            <v>-1017.36</v>
          </cell>
          <cell r="CM354">
            <v>216.67</v>
          </cell>
          <cell r="CN354">
            <v>-779.75</v>
          </cell>
          <cell r="CO354">
            <v>-794.02</v>
          </cell>
          <cell r="CP354">
            <v>-757.53</v>
          </cell>
          <cell r="CQ354">
            <v>-685.78</v>
          </cell>
          <cell r="CR354">
            <v>-1387.03</v>
          </cell>
          <cell r="CS354">
            <v>-768.94</v>
          </cell>
          <cell r="CT354">
            <v>-870.56</v>
          </cell>
          <cell r="CU354">
            <v>-1295.01</v>
          </cell>
          <cell r="CV354">
            <v>-48440.2</v>
          </cell>
          <cell r="CW354">
            <v>-55021.760000000002</v>
          </cell>
          <cell r="CX354">
            <v>-56803.79</v>
          </cell>
          <cell r="CY354">
            <v>-50512.31</v>
          </cell>
          <cell r="CZ354">
            <v>-59332.66</v>
          </cell>
          <cell r="DA354">
            <v>-60520.83</v>
          </cell>
          <cell r="DB354">
            <v>-66806.14</v>
          </cell>
          <cell r="DC354">
            <v>-68743.33</v>
          </cell>
          <cell r="DD354">
            <v>-63462.26</v>
          </cell>
          <cell r="DE354">
            <v>-59664.88</v>
          </cell>
          <cell r="DF354">
            <v>-99602.47</v>
          </cell>
          <cell r="DG354">
            <v>-55783.38</v>
          </cell>
          <cell r="DH354">
            <v>-744694.01</v>
          </cell>
        </row>
        <row r="355">
          <cell r="A355" t="str">
            <v>7000090</v>
          </cell>
          <cell r="B355" t="str">
            <v>7000090</v>
          </cell>
          <cell r="C355" t="str">
            <v>Interest Inc - Deferred Cost Recovery</v>
          </cell>
          <cell r="BX355">
            <v>0</v>
          </cell>
          <cell r="BY355">
            <v>0</v>
          </cell>
          <cell r="BZ355">
            <v>-8502</v>
          </cell>
          <cell r="CA355">
            <v>-45218</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row>
        <row r="356">
          <cell r="A356" t="str">
            <v>7000240</v>
          </cell>
          <cell r="B356" t="str">
            <v>7000240</v>
          </cell>
          <cell r="C356" t="str">
            <v>IntInc-Dfd Conserv</v>
          </cell>
          <cell r="D356">
            <v>-91</v>
          </cell>
          <cell r="E356">
            <v>-43</v>
          </cell>
          <cell r="F356">
            <v>-4</v>
          </cell>
          <cell r="G356">
            <v>0</v>
          </cell>
          <cell r="H356">
            <v>0</v>
          </cell>
          <cell r="I356">
            <v>0</v>
          </cell>
          <cell r="J356">
            <v>0</v>
          </cell>
          <cell r="K356">
            <v>0</v>
          </cell>
          <cell r="L356">
            <v>-1</v>
          </cell>
          <cell r="M356">
            <v>-12</v>
          </cell>
          <cell r="N356">
            <v>-16</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-210</v>
          </cell>
          <cell r="AV356">
            <v>-633</v>
          </cell>
          <cell r="AW356">
            <v>-1281</v>
          </cell>
          <cell r="AX356">
            <v>-2439</v>
          </cell>
          <cell r="AY356">
            <v>-3028</v>
          </cell>
          <cell r="AZ356">
            <v>-2600</v>
          </cell>
          <cell r="BA356">
            <v>-1811</v>
          </cell>
          <cell r="BB356">
            <v>-1999</v>
          </cell>
          <cell r="BC356">
            <v>-3139</v>
          </cell>
          <cell r="BD356">
            <v>-3719</v>
          </cell>
          <cell r="BE356">
            <v>-3586</v>
          </cell>
          <cell r="BF356">
            <v>-4543</v>
          </cell>
          <cell r="BG356">
            <v>-5885</v>
          </cell>
          <cell r="BH356">
            <v>-6516</v>
          </cell>
          <cell r="BI356">
            <v>-7730</v>
          </cell>
          <cell r="BJ356">
            <v>-8730</v>
          </cell>
          <cell r="BK356">
            <v>-8725</v>
          </cell>
          <cell r="BL356">
            <v>-8289</v>
          </cell>
          <cell r="BM356">
            <v>-6559</v>
          </cell>
          <cell r="BN356">
            <v>-4632</v>
          </cell>
          <cell r="BO356">
            <v>-3724</v>
          </cell>
          <cell r="BP356">
            <v>-3040</v>
          </cell>
          <cell r="BQ356">
            <v>-3159</v>
          </cell>
          <cell r="BR356">
            <v>-4386</v>
          </cell>
          <cell r="BS356">
            <v>-5182</v>
          </cell>
          <cell r="BT356">
            <v>-5071</v>
          </cell>
          <cell r="BU356">
            <v>-4748</v>
          </cell>
          <cell r="BV356">
            <v>-4646</v>
          </cell>
          <cell r="BW356">
            <v>-4484</v>
          </cell>
          <cell r="BX356">
            <v>-4057</v>
          </cell>
          <cell r="BY356">
            <v>-2890</v>
          </cell>
          <cell r="BZ356">
            <v>-1888</v>
          </cell>
          <cell r="CA356">
            <v>-672</v>
          </cell>
          <cell r="CB356">
            <v>-44</v>
          </cell>
          <cell r="CC356">
            <v>-63</v>
          </cell>
          <cell r="CD356">
            <v>-85</v>
          </cell>
          <cell r="CE356">
            <v>-100</v>
          </cell>
          <cell r="CF356">
            <v>-113</v>
          </cell>
          <cell r="CG356">
            <v>-142</v>
          </cell>
          <cell r="CH356">
            <v>-232</v>
          </cell>
          <cell r="CI356">
            <v>-208</v>
          </cell>
          <cell r="CJ356">
            <v>-125</v>
          </cell>
          <cell r="CK356">
            <v>-69</v>
          </cell>
          <cell r="CL356">
            <v>-45</v>
          </cell>
          <cell r="CM356">
            <v>-27</v>
          </cell>
          <cell r="CN356">
            <v>-7</v>
          </cell>
          <cell r="CO356">
            <v>-2</v>
          </cell>
          <cell r="CP356">
            <v>-6</v>
          </cell>
          <cell r="CQ356">
            <v>-7</v>
          </cell>
          <cell r="CR356">
            <v>-13</v>
          </cell>
          <cell r="CS356">
            <v>-37</v>
          </cell>
          <cell r="CT356">
            <v>-63</v>
          </cell>
          <cell r="CU356">
            <v>-56</v>
          </cell>
          <cell r="CV356">
            <v>-4</v>
          </cell>
          <cell r="CW356">
            <v>0</v>
          </cell>
          <cell r="CX356">
            <v>0</v>
          </cell>
          <cell r="CY356">
            <v>0</v>
          </cell>
          <cell r="CZ356">
            <v>0</v>
          </cell>
          <cell r="DA356">
            <v>0</v>
          </cell>
          <cell r="DB356">
            <v>0</v>
          </cell>
          <cell r="DC356">
            <v>0</v>
          </cell>
          <cell r="DD356">
            <v>0</v>
          </cell>
          <cell r="DE356">
            <v>0</v>
          </cell>
          <cell r="DF356">
            <v>0</v>
          </cell>
          <cell r="DG356">
            <v>0</v>
          </cell>
          <cell r="DH356">
            <v>-4</v>
          </cell>
        </row>
        <row r="357">
          <cell r="A357" t="str">
            <v>7000260</v>
          </cell>
          <cell r="B357" t="str">
            <v>7000260</v>
          </cell>
          <cell r="C357" t="str">
            <v>IntInc-Dfd PGA</v>
          </cell>
          <cell r="D357">
            <v>-167</v>
          </cell>
          <cell r="E357">
            <v>10</v>
          </cell>
          <cell r="F357">
            <v>124</v>
          </cell>
          <cell r="G357">
            <v>33</v>
          </cell>
          <cell r="H357">
            <v>0</v>
          </cell>
          <cell r="I357">
            <v>0</v>
          </cell>
          <cell r="J357">
            <v>0</v>
          </cell>
          <cell r="K357">
            <v>0</v>
          </cell>
          <cell r="L357">
            <v>0</v>
          </cell>
          <cell r="M357">
            <v>0</v>
          </cell>
          <cell r="N357">
            <v>0</v>
          </cell>
          <cell r="O357">
            <v>0</v>
          </cell>
          <cell r="P357">
            <v>-34</v>
          </cell>
          <cell r="Q357">
            <v>-25</v>
          </cell>
          <cell r="R357">
            <v>22</v>
          </cell>
          <cell r="S357">
            <v>-22</v>
          </cell>
          <cell r="T357">
            <v>-54</v>
          </cell>
          <cell r="U357">
            <v>0</v>
          </cell>
          <cell r="V357">
            <v>0</v>
          </cell>
          <cell r="W357">
            <v>0</v>
          </cell>
          <cell r="X357">
            <v>0</v>
          </cell>
          <cell r="Y357">
            <v>-109</v>
          </cell>
          <cell r="Z357">
            <v>-383</v>
          </cell>
          <cell r="AA357">
            <v>-1075</v>
          </cell>
          <cell r="AB357">
            <v>-1449</v>
          </cell>
          <cell r="AC357">
            <v>-470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-455</v>
          </cell>
          <cell r="AX357">
            <v>-2886</v>
          </cell>
          <cell r="AY357">
            <v>-3736</v>
          </cell>
          <cell r="AZ357">
            <v>-285</v>
          </cell>
          <cell r="BA357">
            <v>0</v>
          </cell>
          <cell r="BB357">
            <v>0</v>
          </cell>
          <cell r="BC357">
            <v>0</v>
          </cell>
          <cell r="BD357">
            <v>0</v>
          </cell>
          <cell r="BE357">
            <v>0</v>
          </cell>
          <cell r="BF357">
            <v>0</v>
          </cell>
          <cell r="BG357">
            <v>0</v>
          </cell>
          <cell r="BH357">
            <v>0</v>
          </cell>
          <cell r="BI357">
            <v>0</v>
          </cell>
          <cell r="BJ357">
            <v>0</v>
          </cell>
          <cell r="BK357">
            <v>-1549</v>
          </cell>
          <cell r="BL357">
            <v>-3058</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-55</v>
          </cell>
          <cell r="CT357">
            <v>-684</v>
          </cell>
          <cell r="CU357">
            <v>-973</v>
          </cell>
          <cell r="CV357">
            <v>-896</v>
          </cell>
          <cell r="CW357">
            <v>-760</v>
          </cell>
          <cell r="CX357">
            <v>-731</v>
          </cell>
          <cell r="CY357">
            <v>-189</v>
          </cell>
          <cell r="CZ357">
            <v>0</v>
          </cell>
          <cell r="DA357">
            <v>0</v>
          </cell>
          <cell r="DB357">
            <v>0</v>
          </cell>
          <cell r="DC357">
            <v>0</v>
          </cell>
          <cell r="DD357">
            <v>0</v>
          </cell>
          <cell r="DE357">
            <v>0</v>
          </cell>
          <cell r="DF357">
            <v>0</v>
          </cell>
          <cell r="DG357">
            <v>0</v>
          </cell>
          <cell r="DH357">
            <v>-2576</v>
          </cell>
        </row>
        <row r="358">
          <cell r="A358" t="str">
            <v>7000270</v>
          </cell>
          <cell r="B358" t="str">
            <v>7000270</v>
          </cell>
          <cell r="C358" t="str">
            <v>IntInc-Dfd CRA</v>
          </cell>
          <cell r="D358">
            <v>-212</v>
          </cell>
          <cell r="E358">
            <v>-194</v>
          </cell>
          <cell r="F358">
            <v>-180</v>
          </cell>
          <cell r="G358">
            <v>-201</v>
          </cell>
          <cell r="H358">
            <v>-158</v>
          </cell>
          <cell r="I358">
            <v>-120</v>
          </cell>
          <cell r="J358">
            <v>-142</v>
          </cell>
          <cell r="K358">
            <v>-138</v>
          </cell>
          <cell r="L358">
            <v>-135</v>
          </cell>
          <cell r="M358">
            <v>-130</v>
          </cell>
          <cell r="N358">
            <v>-170</v>
          </cell>
          <cell r="O358">
            <v>-226</v>
          </cell>
          <cell r="P358">
            <v>-223</v>
          </cell>
          <cell r="Q358">
            <v>-219</v>
          </cell>
          <cell r="R358">
            <v>-213</v>
          </cell>
          <cell r="S358">
            <v>-155</v>
          </cell>
          <cell r="T358">
            <v>-178</v>
          </cell>
          <cell r="U358">
            <v>-203</v>
          </cell>
          <cell r="V358">
            <v>-200</v>
          </cell>
          <cell r="W358">
            <v>-223</v>
          </cell>
          <cell r="X358">
            <v>-246</v>
          </cell>
          <cell r="Y358">
            <v>-244</v>
          </cell>
          <cell r="Z358">
            <v>-289</v>
          </cell>
          <cell r="AA358">
            <v>-499</v>
          </cell>
          <cell r="AB358">
            <v>-759</v>
          </cell>
          <cell r="AC358">
            <v>-884</v>
          </cell>
          <cell r="AD358">
            <v>-920</v>
          </cell>
          <cell r="AE358">
            <v>-839</v>
          </cell>
          <cell r="AF358">
            <v>-735</v>
          </cell>
          <cell r="AG358">
            <v>-784</v>
          </cell>
          <cell r="AH358">
            <v>-861</v>
          </cell>
          <cell r="AI358">
            <v>-881</v>
          </cell>
          <cell r="AJ358">
            <v>-939</v>
          </cell>
          <cell r="AK358">
            <v>-1017</v>
          </cell>
          <cell r="AL358">
            <v>-1090</v>
          </cell>
          <cell r="AM358">
            <v>-1366</v>
          </cell>
          <cell r="AN358">
            <v>-1663</v>
          </cell>
          <cell r="AO358">
            <v>-1575</v>
          </cell>
          <cell r="AP358">
            <v>-1773</v>
          </cell>
          <cell r="AQ358">
            <v>-202</v>
          </cell>
          <cell r="AR358">
            <v>-3836</v>
          </cell>
          <cell r="AS358">
            <v>-2294</v>
          </cell>
          <cell r="AT358">
            <v>-2480</v>
          </cell>
          <cell r="AU358">
            <v>-2402</v>
          </cell>
          <cell r="AV358">
            <v>-2035</v>
          </cell>
          <cell r="AW358">
            <v>-2491</v>
          </cell>
          <cell r="AX358">
            <v>-2795</v>
          </cell>
          <cell r="AY358">
            <v>-3142</v>
          </cell>
          <cell r="AZ358">
            <v>-3665</v>
          </cell>
          <cell r="BA358">
            <v>-3592</v>
          </cell>
          <cell r="BB358">
            <v>-3924</v>
          </cell>
          <cell r="BC358">
            <v>-4227</v>
          </cell>
          <cell r="BD358">
            <v>-4197</v>
          </cell>
          <cell r="BE358">
            <v>-4335</v>
          </cell>
          <cell r="BF358">
            <v>-4459</v>
          </cell>
          <cell r="BG358">
            <v>-4462</v>
          </cell>
          <cell r="BH358">
            <v>-4621</v>
          </cell>
          <cell r="BI358">
            <v>-4915</v>
          </cell>
          <cell r="BJ358">
            <v>-5481</v>
          </cell>
          <cell r="BK358">
            <v>-5657</v>
          </cell>
          <cell r="BL358">
            <v>-6125</v>
          </cell>
          <cell r="BM358">
            <v>-5967</v>
          </cell>
          <cell r="BN358">
            <v>-5980</v>
          </cell>
          <cell r="BO358">
            <v>-5961</v>
          </cell>
          <cell r="BP358">
            <v>-5755</v>
          </cell>
          <cell r="BQ358">
            <v>-5623</v>
          </cell>
          <cell r="BR358">
            <v>-5238</v>
          </cell>
          <cell r="BS358">
            <v>-4937</v>
          </cell>
          <cell r="BT358">
            <v>-4679</v>
          </cell>
          <cell r="BU358">
            <v>-4313</v>
          </cell>
          <cell r="BV358">
            <v>-4182</v>
          </cell>
          <cell r="BW358">
            <v>-4231</v>
          </cell>
          <cell r="BX358">
            <v>-4250</v>
          </cell>
          <cell r="BY358">
            <v>-4055</v>
          </cell>
          <cell r="BZ358">
            <v>-4055</v>
          </cell>
          <cell r="CA358">
            <v>-2769</v>
          </cell>
          <cell r="CB358">
            <v>-148</v>
          </cell>
          <cell r="CC358">
            <v>-241</v>
          </cell>
          <cell r="CD358">
            <v>-272</v>
          </cell>
          <cell r="CE358">
            <v>-271</v>
          </cell>
          <cell r="CF358">
            <v>-243</v>
          </cell>
          <cell r="CG358">
            <v>-215</v>
          </cell>
          <cell r="CH358">
            <v>-329</v>
          </cell>
          <cell r="CI358">
            <v>-328</v>
          </cell>
          <cell r="CJ358">
            <v>-334</v>
          </cell>
          <cell r="CK358">
            <v>-289</v>
          </cell>
          <cell r="CL358">
            <v>-254</v>
          </cell>
          <cell r="CM358">
            <v>-261</v>
          </cell>
          <cell r="CN358">
            <v>0</v>
          </cell>
          <cell r="CO358">
            <v>-65</v>
          </cell>
          <cell r="CP358">
            <v>-103</v>
          </cell>
          <cell r="CQ358">
            <v>-175</v>
          </cell>
          <cell r="CR358">
            <v>-179</v>
          </cell>
          <cell r="CS358">
            <v>-217</v>
          </cell>
          <cell r="CT358">
            <v>-315</v>
          </cell>
          <cell r="CU358">
            <v>-314</v>
          </cell>
          <cell r="CV358">
            <v>-338</v>
          </cell>
          <cell r="CW358">
            <v>-603</v>
          </cell>
          <cell r="CX358">
            <v>-1113</v>
          </cell>
          <cell r="CY358">
            <v>-1902</v>
          </cell>
          <cell r="CZ358">
            <v>-2834</v>
          </cell>
          <cell r="DA358">
            <v>-4177</v>
          </cell>
          <cell r="DB358">
            <v>-5948</v>
          </cell>
          <cell r="DC358">
            <v>-6558</v>
          </cell>
          <cell r="DD358">
            <v>-8403</v>
          </cell>
          <cell r="DE358">
            <v>-9440</v>
          </cell>
          <cell r="DF358">
            <v>-11932</v>
          </cell>
          <cell r="DG358">
            <v>-13420</v>
          </cell>
          <cell r="DH358">
            <v>-66668</v>
          </cell>
        </row>
        <row r="359">
          <cell r="A359" t="str">
            <v>7000271</v>
          </cell>
          <cell r="B359" t="str">
            <v>7000271</v>
          </cell>
          <cell r="C359" t="str">
            <v>IntInc-CI/BSR Rider</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-156</v>
          </cell>
          <cell r="AX359">
            <v>-532</v>
          </cell>
          <cell r="AY359">
            <v>-970</v>
          </cell>
          <cell r="AZ359">
            <v>-914</v>
          </cell>
          <cell r="BA359">
            <v>-219</v>
          </cell>
          <cell r="BB359">
            <v>0</v>
          </cell>
          <cell r="BC359">
            <v>0</v>
          </cell>
          <cell r="BD359">
            <v>175</v>
          </cell>
          <cell r="BE359">
            <v>-138</v>
          </cell>
          <cell r="BF359">
            <v>0</v>
          </cell>
          <cell r="BG359">
            <v>0</v>
          </cell>
          <cell r="BH359">
            <v>0</v>
          </cell>
          <cell r="BI359">
            <v>0</v>
          </cell>
          <cell r="BJ359">
            <v>0</v>
          </cell>
          <cell r="BK359">
            <v>3</v>
          </cell>
          <cell r="BL359">
            <v>0</v>
          </cell>
          <cell r="BM359">
            <v>-15</v>
          </cell>
          <cell r="BN359">
            <v>0</v>
          </cell>
          <cell r="BO359">
            <v>0</v>
          </cell>
          <cell r="BP359">
            <v>0</v>
          </cell>
          <cell r="BQ359">
            <v>-194</v>
          </cell>
          <cell r="BR359">
            <v>-976</v>
          </cell>
          <cell r="BS359">
            <v>-1763</v>
          </cell>
          <cell r="BT359">
            <v>-2577</v>
          </cell>
          <cell r="BU359">
            <v>-2702</v>
          </cell>
          <cell r="BV359">
            <v>-3433</v>
          </cell>
          <cell r="BW359">
            <v>-6609</v>
          </cell>
          <cell r="BX359">
            <v>-4289</v>
          </cell>
          <cell r="BY359">
            <v>-3279</v>
          </cell>
          <cell r="BZ359">
            <v>-3115</v>
          </cell>
          <cell r="CA359">
            <v>-1745</v>
          </cell>
          <cell r="CB359">
            <v>-122</v>
          </cell>
          <cell r="CC359">
            <v>-186</v>
          </cell>
          <cell r="CD359">
            <v>-269</v>
          </cell>
          <cell r="CE359">
            <v>-315</v>
          </cell>
          <cell r="CF359">
            <v>-291</v>
          </cell>
          <cell r="CG359">
            <v>-288</v>
          </cell>
          <cell r="CH359">
            <v>-450</v>
          </cell>
          <cell r="CI359">
            <v>-461</v>
          </cell>
          <cell r="CJ359">
            <v>-383</v>
          </cell>
          <cell r="CK359">
            <v>-328</v>
          </cell>
          <cell r="CL359">
            <v>-250</v>
          </cell>
          <cell r="CM359">
            <v>-215</v>
          </cell>
          <cell r="CN359">
            <v>-115</v>
          </cell>
          <cell r="CO359">
            <v>-100</v>
          </cell>
          <cell r="CP359">
            <v>-104</v>
          </cell>
          <cell r="CQ359">
            <v>-75</v>
          </cell>
          <cell r="CR359">
            <v>-65</v>
          </cell>
          <cell r="CS359">
            <v>-67</v>
          </cell>
          <cell r="CT359">
            <v>-75</v>
          </cell>
          <cell r="CU359">
            <v>-56</v>
          </cell>
          <cell r="CV359">
            <v>-42</v>
          </cell>
          <cell r="CW359">
            <v>-39</v>
          </cell>
          <cell r="CX359">
            <v>-20</v>
          </cell>
          <cell r="CY359">
            <v>0</v>
          </cell>
          <cell r="CZ359">
            <v>0</v>
          </cell>
          <cell r="DA359">
            <v>0</v>
          </cell>
          <cell r="DB359">
            <v>0</v>
          </cell>
          <cell r="DC359">
            <v>0</v>
          </cell>
          <cell r="DD359">
            <v>-278</v>
          </cell>
          <cell r="DE359">
            <v>-1020</v>
          </cell>
          <cell r="DF359">
            <v>-1465</v>
          </cell>
          <cell r="DG359">
            <v>-2388</v>
          </cell>
          <cell r="DH359">
            <v>-5252</v>
          </cell>
        </row>
        <row r="360">
          <cell r="A360" t="str">
            <v>7000700</v>
          </cell>
          <cell r="B360" t="str">
            <v>7000700</v>
          </cell>
          <cell r="C360" t="str">
            <v>IntInc-Intercompany</v>
          </cell>
          <cell r="D360">
            <v>-949.64</v>
          </cell>
          <cell r="E360">
            <v>-391.98</v>
          </cell>
          <cell r="F360">
            <v>-537.23</v>
          </cell>
          <cell r="G360">
            <v>-1716.68</v>
          </cell>
          <cell r="H360">
            <v>-2592.81</v>
          </cell>
          <cell r="I360">
            <v>-81.83</v>
          </cell>
          <cell r="J360">
            <v>0</v>
          </cell>
          <cell r="K360">
            <v>-282.83</v>
          </cell>
          <cell r="L360">
            <v>-233.2</v>
          </cell>
          <cell r="M360">
            <v>-277.56</v>
          </cell>
          <cell r="N360">
            <v>0</v>
          </cell>
          <cell r="O360">
            <v>-983.42</v>
          </cell>
          <cell r="P360">
            <v>-769.58</v>
          </cell>
          <cell r="Q360">
            <v>-570.25</v>
          </cell>
          <cell r="R360">
            <v>-2664.93</v>
          </cell>
          <cell r="S360">
            <v>-5316.88</v>
          </cell>
          <cell r="T360">
            <v>-3236.73</v>
          </cell>
          <cell r="U360">
            <v>-479.98</v>
          </cell>
          <cell r="V360">
            <v>-664.18</v>
          </cell>
          <cell r="W360">
            <v>-237.7</v>
          </cell>
          <cell r="X360">
            <v>-327.07</v>
          </cell>
          <cell r="Y360">
            <v>-368.85</v>
          </cell>
          <cell r="Z360">
            <v>-664.38</v>
          </cell>
          <cell r="AA360">
            <v>-3034.31</v>
          </cell>
          <cell r="AB360">
            <v>-3244.46</v>
          </cell>
          <cell r="AC360">
            <v>-3989.13</v>
          </cell>
          <cell r="AD360">
            <v>-650.26</v>
          </cell>
          <cell r="AE360">
            <v>-11483.41</v>
          </cell>
          <cell r="AF360">
            <v>-13996.7</v>
          </cell>
          <cell r="AG360">
            <v>-2678.56</v>
          </cell>
          <cell r="AH360">
            <v>0</v>
          </cell>
          <cell r="AI360">
            <v>-4540.3900000000003</v>
          </cell>
          <cell r="AJ360">
            <v>-10.44</v>
          </cell>
          <cell r="AK360">
            <v>-1497.99</v>
          </cell>
          <cell r="AL360">
            <v>0</v>
          </cell>
          <cell r="AM360">
            <v>-900.17</v>
          </cell>
          <cell r="AN360">
            <v>0</v>
          </cell>
          <cell r="AO360">
            <v>0</v>
          </cell>
          <cell r="AP360">
            <v>0</v>
          </cell>
          <cell r="AQ360">
            <v>0</v>
          </cell>
          <cell r="AR360">
            <v>0</v>
          </cell>
          <cell r="AS360">
            <v>0</v>
          </cell>
          <cell r="AT360">
            <v>0</v>
          </cell>
          <cell r="AU360">
            <v>0</v>
          </cell>
          <cell r="AV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-9413.48</v>
          </cell>
          <cell r="CK360">
            <v>-9459.18</v>
          </cell>
          <cell r="CL360">
            <v>-9229.83</v>
          </cell>
          <cell r="CM360">
            <v>-5079.79</v>
          </cell>
          <cell r="CN360">
            <v>-10909.71</v>
          </cell>
          <cell r="CO360">
            <v>-4635.07</v>
          </cell>
          <cell r="CP360">
            <v>-2076.81</v>
          </cell>
          <cell r="CQ360">
            <v>-2131.5</v>
          </cell>
          <cell r="CR360">
            <v>-1986.29</v>
          </cell>
          <cell r="CS360">
            <v>-1910.9</v>
          </cell>
          <cell r="CT360">
            <v>-1944.63</v>
          </cell>
          <cell r="CU360">
            <v>-2449.88</v>
          </cell>
          <cell r="CV360">
            <v>-2657.93</v>
          </cell>
          <cell r="CW360">
            <v>-2452.38</v>
          </cell>
          <cell r="CX360">
            <v>-7580.94</v>
          </cell>
          <cell r="CY360">
            <v>-9835.57</v>
          </cell>
          <cell r="CZ360">
            <v>-10685.54</v>
          </cell>
          <cell r="DA360">
            <v>-13833.3</v>
          </cell>
          <cell r="DB360">
            <v>-17837.21</v>
          </cell>
          <cell r="DC360">
            <v>-25658.32</v>
          </cell>
          <cell r="DD360">
            <v>-29496.400000000001</v>
          </cell>
          <cell r="DE360">
            <v>-31965.72</v>
          </cell>
          <cell r="DF360">
            <v>-35430.39</v>
          </cell>
          <cell r="DG360">
            <v>-39515.410000000003</v>
          </cell>
          <cell r="DH360">
            <v>-226949.11000000002</v>
          </cell>
        </row>
        <row r="361">
          <cell r="A361" t="str">
            <v>7000800</v>
          </cell>
          <cell r="B361" t="str">
            <v>7000800</v>
          </cell>
          <cell r="C361" t="str">
            <v>IntInc-Miscellaneous</v>
          </cell>
          <cell r="D361">
            <v>-32156.26</v>
          </cell>
          <cell r="E361">
            <v>-59768.59</v>
          </cell>
          <cell r="F361">
            <v>-16405.560000000001</v>
          </cell>
          <cell r="G361">
            <v>-11983.35</v>
          </cell>
          <cell r="H361">
            <v>-19841.05</v>
          </cell>
          <cell r="I361">
            <v>-34519.17</v>
          </cell>
          <cell r="J361">
            <v>-13577.67</v>
          </cell>
          <cell r="K361">
            <v>-15355.17</v>
          </cell>
          <cell r="L361">
            <v>-15121.38</v>
          </cell>
          <cell r="M361">
            <v>-16882.47</v>
          </cell>
          <cell r="N361">
            <v>-11242.67</v>
          </cell>
          <cell r="O361">
            <v>-29160.13</v>
          </cell>
          <cell r="P361">
            <v>-24518.29</v>
          </cell>
          <cell r="Q361">
            <v>-17993.23</v>
          </cell>
          <cell r="R361">
            <v>-17994.25</v>
          </cell>
          <cell r="S361">
            <v>-19822.23</v>
          </cell>
          <cell r="T361">
            <v>-41990.1</v>
          </cell>
          <cell r="U361">
            <v>-46082.1</v>
          </cell>
          <cell r="V361">
            <v>-12781.81</v>
          </cell>
          <cell r="W361">
            <v>-21453.43</v>
          </cell>
          <cell r="X361">
            <v>-15998.47</v>
          </cell>
          <cell r="Y361">
            <v>-17926.060000000001</v>
          </cell>
          <cell r="Z361">
            <v>-23394.54</v>
          </cell>
          <cell r="AA361">
            <v>-18115.330000000002</v>
          </cell>
          <cell r="AB361">
            <v>-14596.01</v>
          </cell>
          <cell r="AC361">
            <v>-64398.96</v>
          </cell>
          <cell r="AD361">
            <v>-24467.18</v>
          </cell>
          <cell r="AE361">
            <v>-25289.81</v>
          </cell>
          <cell r="AF361">
            <v>-24608.98</v>
          </cell>
          <cell r="AG361">
            <v>-45412.81</v>
          </cell>
          <cell r="AH361">
            <v>-53566.52</v>
          </cell>
          <cell r="AI361">
            <v>-37029.370000000003</v>
          </cell>
          <cell r="AJ361">
            <v>-29848.48</v>
          </cell>
          <cell r="AK361">
            <v>-22548.720000000001</v>
          </cell>
          <cell r="AL361">
            <v>-34613.72</v>
          </cell>
          <cell r="AM361">
            <v>-40897.17</v>
          </cell>
          <cell r="AN361">
            <v>-28006.81</v>
          </cell>
          <cell r="AO361">
            <v>-37984.57</v>
          </cell>
          <cell r="AP361">
            <v>-31193.17</v>
          </cell>
          <cell r="AQ361">
            <v>-30066.84</v>
          </cell>
          <cell r="AR361">
            <v>-9809.65</v>
          </cell>
          <cell r="AS361">
            <v>-20994.17</v>
          </cell>
          <cell r="AT361">
            <v>-1673.21</v>
          </cell>
          <cell r="AU361">
            <v>-5205.66</v>
          </cell>
          <cell r="AV361">
            <v>-1710.7</v>
          </cell>
          <cell r="AW361">
            <v>-2412.67</v>
          </cell>
          <cell r="AX361">
            <v>-653.58000000000004</v>
          </cell>
          <cell r="AY361">
            <v>-722.53</v>
          </cell>
          <cell r="AZ361">
            <v>-5980.14</v>
          </cell>
          <cell r="BA361">
            <v>-683.95</v>
          </cell>
          <cell r="BB361">
            <v>-593.34</v>
          </cell>
          <cell r="BC361">
            <v>-1242.23</v>
          </cell>
          <cell r="BD361">
            <v>-3325.19</v>
          </cell>
          <cell r="BE361">
            <v>-823.95</v>
          </cell>
          <cell r="BF361">
            <v>61.04</v>
          </cell>
          <cell r="BG361">
            <v>-774.42</v>
          </cell>
          <cell r="BH361">
            <v>-869.08</v>
          </cell>
          <cell r="BI361">
            <v>123.42</v>
          </cell>
          <cell r="BJ361">
            <v>-859.74</v>
          </cell>
          <cell r="BK361">
            <v>-1245.73</v>
          </cell>
          <cell r="BL361">
            <v>-1386.14</v>
          </cell>
          <cell r="BM361">
            <v>-1039.8</v>
          </cell>
          <cell r="BN361">
            <v>-926.46</v>
          </cell>
          <cell r="BO361">
            <v>-955.99</v>
          </cell>
          <cell r="BP361">
            <v>-1150.17</v>
          </cell>
          <cell r="BQ361">
            <v>-3577.39</v>
          </cell>
          <cell r="BR361">
            <v>-3981.29</v>
          </cell>
          <cell r="BS361">
            <v>-3921.99</v>
          </cell>
          <cell r="BT361">
            <v>-3048.89</v>
          </cell>
          <cell r="BU361">
            <v>-21.6</v>
          </cell>
          <cell r="BV361">
            <v>-5046.87</v>
          </cell>
          <cell r="BW361">
            <v>-1393.46</v>
          </cell>
          <cell r="BX361">
            <v>-1579.61</v>
          </cell>
          <cell r="BY361">
            <v>-1281.06</v>
          </cell>
          <cell r="BZ361">
            <v>-1072.8</v>
          </cell>
          <cell r="CA361">
            <v>-719.88</v>
          </cell>
          <cell r="CB361">
            <v>-1039.4000000000001</v>
          </cell>
          <cell r="CC361">
            <v>-750.75</v>
          </cell>
          <cell r="CD361">
            <v>-625.63</v>
          </cell>
          <cell r="CE361">
            <v>-738.82</v>
          </cell>
          <cell r="CF361">
            <v>-572.55999999999995</v>
          </cell>
          <cell r="CG361">
            <v>-534.87</v>
          </cell>
          <cell r="CH361">
            <v>-573.24</v>
          </cell>
          <cell r="CI361">
            <v>-664.81</v>
          </cell>
          <cell r="CJ361">
            <v>-842.29</v>
          </cell>
          <cell r="CK361">
            <v>-387.57</v>
          </cell>
          <cell r="CL361">
            <v>-485.21</v>
          </cell>
          <cell r="CM361">
            <v>-4509.24</v>
          </cell>
          <cell r="CN361">
            <v>-3492.65</v>
          </cell>
          <cell r="CO361">
            <v>-489.02</v>
          </cell>
          <cell r="CP361">
            <v>-1132.8800000000001</v>
          </cell>
          <cell r="CQ361">
            <v>-953.31</v>
          </cell>
          <cell r="CR361">
            <v>-818.78</v>
          </cell>
          <cell r="CS361">
            <v>-974.96</v>
          </cell>
          <cell r="CT361">
            <v>-899.24</v>
          </cell>
          <cell r="CU361">
            <v>-905.4</v>
          </cell>
          <cell r="CV361">
            <v>-1135.4000000000001</v>
          </cell>
          <cell r="CW361">
            <v>-449.26</v>
          </cell>
          <cell r="CX361">
            <v>-413.98</v>
          </cell>
          <cell r="CY361">
            <v>-633.27</v>
          </cell>
          <cell r="CZ361">
            <v>-603.95000000000005</v>
          </cell>
          <cell r="DA361">
            <v>-402.26</v>
          </cell>
          <cell r="DB361">
            <v>-512.79999999999995</v>
          </cell>
          <cell r="DC361">
            <v>-3804.42</v>
          </cell>
          <cell r="DD361">
            <v>-9140.0499999999993</v>
          </cell>
          <cell r="DE361">
            <v>-15357.5</v>
          </cell>
          <cell r="DF361">
            <v>-5153.2</v>
          </cell>
          <cell r="DG361">
            <v>-6663.68</v>
          </cell>
          <cell r="DH361">
            <v>-44269.77</v>
          </cell>
        </row>
        <row r="362">
          <cell r="A362" t="str">
            <v>7009000</v>
          </cell>
          <cell r="B362" t="str">
            <v>7009000</v>
          </cell>
          <cell r="C362" t="str">
            <v>IntInc to BalSheet</v>
          </cell>
          <cell r="D362">
            <v>0</v>
          </cell>
          <cell r="E362">
            <v>-6767.39</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-687910.31</v>
          </cell>
          <cell r="AB362">
            <v>0</v>
          </cell>
          <cell r="AC362">
            <v>0</v>
          </cell>
          <cell r="AD362">
            <v>0</v>
          </cell>
          <cell r="AE362">
            <v>0</v>
          </cell>
          <cell r="AF362">
            <v>0</v>
          </cell>
          <cell r="AG362">
            <v>0</v>
          </cell>
          <cell r="AH362">
            <v>0</v>
          </cell>
          <cell r="AI362">
            <v>0</v>
          </cell>
          <cell r="AJ362">
            <v>140</v>
          </cell>
          <cell r="AK362">
            <v>-140</v>
          </cell>
          <cell r="AL362">
            <v>0</v>
          </cell>
          <cell r="AM362">
            <v>0</v>
          </cell>
          <cell r="AN362">
            <v>0</v>
          </cell>
          <cell r="AO362">
            <v>0</v>
          </cell>
          <cell r="AP362">
            <v>0</v>
          </cell>
          <cell r="AQ362">
            <v>0</v>
          </cell>
          <cell r="AR362">
            <v>0</v>
          </cell>
          <cell r="AS362">
            <v>0</v>
          </cell>
          <cell r="AT362">
            <v>0</v>
          </cell>
          <cell r="AU362">
            <v>0</v>
          </cell>
          <cell r="AV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row>
        <row r="363">
          <cell r="A363" t="str">
            <v>7100010</v>
          </cell>
          <cell r="B363" t="str">
            <v>7100010</v>
          </cell>
          <cell r="C363" t="str">
            <v>Allow Oth Fund AFUDC</v>
          </cell>
          <cell r="BL363">
            <v>0</v>
          </cell>
          <cell r="BM363">
            <v>0</v>
          </cell>
          <cell r="BN363">
            <v>0</v>
          </cell>
          <cell r="BO363">
            <v>0</v>
          </cell>
          <cell r="BP363">
            <v>0</v>
          </cell>
          <cell r="BQ363">
            <v>0</v>
          </cell>
          <cell r="BR363">
            <v>0</v>
          </cell>
          <cell r="BS363">
            <v>-135260.79</v>
          </cell>
          <cell r="BT363">
            <v>-88143.23</v>
          </cell>
          <cell r="BU363">
            <v>-69984.350000000006</v>
          </cell>
          <cell r="BV363">
            <v>-78293.710000000006</v>
          </cell>
          <cell r="BW363">
            <v>-98731.87</v>
          </cell>
          <cell r="BX363">
            <v>-128109.59</v>
          </cell>
          <cell r="BY363">
            <v>-160068.20000000001</v>
          </cell>
          <cell r="BZ363">
            <v>-187039.09</v>
          </cell>
          <cell r="CA363">
            <v>-212810.96</v>
          </cell>
          <cell r="CB363">
            <v>-258036.43</v>
          </cell>
          <cell r="CC363">
            <v>-295038.21000000002</v>
          </cell>
          <cell r="CD363">
            <v>-317432.21000000002</v>
          </cell>
          <cell r="CE363">
            <v>-354208</v>
          </cell>
          <cell r="CF363">
            <v>-396170.73</v>
          </cell>
          <cell r="CG363">
            <v>-313400.96999999997</v>
          </cell>
          <cell r="CH363">
            <v>-231389.87</v>
          </cell>
          <cell r="CI363">
            <v>-267899.33</v>
          </cell>
          <cell r="CJ363">
            <v>-304757.78999999998</v>
          </cell>
          <cell r="CK363">
            <v>-370593.85</v>
          </cell>
          <cell r="CL363">
            <v>-389947.17</v>
          </cell>
          <cell r="CM363">
            <v>-326242.06</v>
          </cell>
          <cell r="CN363">
            <v>-221915.58</v>
          </cell>
          <cell r="CO363">
            <v>-230325.17</v>
          </cell>
          <cell r="CP363">
            <v>-249458.15</v>
          </cell>
          <cell r="CQ363">
            <v>-280763.06</v>
          </cell>
          <cell r="CR363">
            <v>-307772.68</v>
          </cell>
          <cell r="CS363">
            <v>-330307.34000000003</v>
          </cell>
          <cell r="CT363">
            <v>-118962.32</v>
          </cell>
          <cell r="CU363">
            <v>-163717.22</v>
          </cell>
          <cell r="CV363">
            <v>-180627.20000000001</v>
          </cell>
          <cell r="CW363">
            <v>-197146.68</v>
          </cell>
          <cell r="CX363">
            <v>-214283.86</v>
          </cell>
          <cell r="CY363">
            <v>-235931.8</v>
          </cell>
          <cell r="CZ363">
            <v>-260884.35</v>
          </cell>
          <cell r="DA363">
            <v>-291434.89</v>
          </cell>
          <cell r="DB363">
            <v>-325385.08</v>
          </cell>
          <cell r="DC363">
            <v>-349541.75</v>
          </cell>
          <cell r="DD363">
            <v>-370307.86</v>
          </cell>
          <cell r="DE363">
            <v>-167646.16</v>
          </cell>
          <cell r="DF363">
            <v>-245397.82</v>
          </cell>
          <cell r="DG363">
            <v>-265768.27</v>
          </cell>
          <cell r="DH363">
            <v>-3104355.72</v>
          </cell>
        </row>
        <row r="364">
          <cell r="A364" t="str">
            <v>7100015</v>
          </cell>
          <cell r="B364" t="str">
            <v>7100015</v>
          </cell>
          <cell r="C364" t="str">
            <v>Captlz AFUDC Equity</v>
          </cell>
          <cell r="BU364">
            <v>0</v>
          </cell>
          <cell r="BV364">
            <v>0</v>
          </cell>
          <cell r="BW364">
            <v>470413.95</v>
          </cell>
          <cell r="BX364">
            <v>128109.59</v>
          </cell>
          <cell r="BY364">
            <v>160068.20000000001</v>
          </cell>
          <cell r="BZ364">
            <v>187039.09</v>
          </cell>
          <cell r="CA364">
            <v>212810.96</v>
          </cell>
          <cell r="CB364">
            <v>258036.43</v>
          </cell>
          <cell r="CC364">
            <v>295038.21000000002</v>
          </cell>
          <cell r="CD364">
            <v>317432.21000000002</v>
          </cell>
          <cell r="CE364">
            <v>354208</v>
          </cell>
          <cell r="CF364">
            <v>396170.73</v>
          </cell>
          <cell r="CG364">
            <v>313400.96999999997</v>
          </cell>
          <cell r="CH364">
            <v>231389.87</v>
          </cell>
          <cell r="CI364">
            <v>267899.33</v>
          </cell>
          <cell r="CJ364">
            <v>304757.78999999998</v>
          </cell>
          <cell r="CK364">
            <v>370593.85</v>
          </cell>
          <cell r="CL364">
            <v>389947.17</v>
          </cell>
          <cell r="CM364">
            <v>326242.06</v>
          </cell>
          <cell r="CN364">
            <v>221915.58</v>
          </cell>
          <cell r="CO364">
            <v>230325.17</v>
          </cell>
          <cell r="CP364">
            <v>249458.15</v>
          </cell>
          <cell r="CQ364">
            <v>280763.06</v>
          </cell>
          <cell r="CR364">
            <v>307772.68</v>
          </cell>
          <cell r="CS364">
            <v>330307.34000000003</v>
          </cell>
          <cell r="CT364">
            <v>118962.32</v>
          </cell>
          <cell r="CU364">
            <v>163717.22</v>
          </cell>
          <cell r="CV364">
            <v>180627.20000000001</v>
          </cell>
          <cell r="CW364">
            <v>197146.68</v>
          </cell>
          <cell r="CX364">
            <v>214283.86</v>
          </cell>
          <cell r="CY364">
            <v>235931.8</v>
          </cell>
          <cell r="CZ364">
            <v>260884.35</v>
          </cell>
          <cell r="DA364">
            <v>291434.89</v>
          </cell>
          <cell r="DB364">
            <v>325385.08</v>
          </cell>
          <cell r="DC364">
            <v>349541.75</v>
          </cell>
          <cell r="DD364">
            <v>370307.86</v>
          </cell>
          <cell r="DE364">
            <v>167646.16</v>
          </cell>
          <cell r="DF364">
            <v>245397.82</v>
          </cell>
          <cell r="DG364">
            <v>265768.27</v>
          </cell>
          <cell r="DH364">
            <v>3104355.72</v>
          </cell>
        </row>
        <row r="365">
          <cell r="A365" t="str">
            <v>7100020</v>
          </cell>
          <cell r="B365" t="str">
            <v>7100020</v>
          </cell>
          <cell r="C365" t="str">
            <v>Basic Order Agreemnt</v>
          </cell>
          <cell r="D365">
            <v>0</v>
          </cell>
          <cell r="E365">
            <v>-6767.39</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-687910.31</v>
          </cell>
          <cell r="AB365">
            <v>0</v>
          </cell>
          <cell r="AC365">
            <v>0</v>
          </cell>
          <cell r="AD365">
            <v>0</v>
          </cell>
          <cell r="AE365">
            <v>0</v>
          </cell>
          <cell r="AF365">
            <v>0</v>
          </cell>
          <cell r="AG365">
            <v>0</v>
          </cell>
          <cell r="AH365">
            <v>0</v>
          </cell>
          <cell r="AI365">
            <v>-214531</v>
          </cell>
          <cell r="AJ365">
            <v>0</v>
          </cell>
          <cell r="AK365">
            <v>-732275.85</v>
          </cell>
          <cell r="AL365">
            <v>0</v>
          </cell>
          <cell r="AM365">
            <v>0</v>
          </cell>
          <cell r="AN365">
            <v>0</v>
          </cell>
          <cell r="AO365">
            <v>0</v>
          </cell>
          <cell r="AP365">
            <v>0</v>
          </cell>
          <cell r="AQ365">
            <v>0</v>
          </cell>
          <cell r="AR365">
            <v>0</v>
          </cell>
          <cell r="AS365">
            <v>0</v>
          </cell>
          <cell r="AT365">
            <v>0</v>
          </cell>
          <cell r="AU365">
            <v>0</v>
          </cell>
          <cell r="AV365">
            <v>0</v>
          </cell>
          <cell r="AZ365">
            <v>-8001.86</v>
          </cell>
          <cell r="BA365">
            <v>0</v>
          </cell>
          <cell r="BB365">
            <v>0</v>
          </cell>
          <cell r="BC365">
            <v>0</v>
          </cell>
          <cell r="BD365">
            <v>0</v>
          </cell>
          <cell r="BE365">
            <v>-1457.99</v>
          </cell>
          <cell r="BF365">
            <v>0</v>
          </cell>
          <cell r="BG365">
            <v>-357.9</v>
          </cell>
          <cell r="BH365">
            <v>-5833.64</v>
          </cell>
          <cell r="BI365">
            <v>-1458</v>
          </cell>
          <cell r="BJ365">
            <v>-178.95</v>
          </cell>
          <cell r="BK365">
            <v>0</v>
          </cell>
          <cell r="BL365">
            <v>-1958.92</v>
          </cell>
          <cell r="BM365">
            <v>0</v>
          </cell>
          <cell r="BN365">
            <v>0</v>
          </cell>
          <cell r="BO365">
            <v>-6839.54</v>
          </cell>
          <cell r="BP365">
            <v>0</v>
          </cell>
          <cell r="BQ365">
            <v>0</v>
          </cell>
          <cell r="BR365">
            <v>-2142.37</v>
          </cell>
          <cell r="BS365">
            <v>0</v>
          </cell>
          <cell r="BT365">
            <v>-1958.93</v>
          </cell>
          <cell r="BU365">
            <v>0</v>
          </cell>
          <cell r="BV365">
            <v>0</v>
          </cell>
          <cell r="BW365">
            <v>0</v>
          </cell>
          <cell r="BX365">
            <v>0</v>
          </cell>
          <cell r="BY365">
            <v>0</v>
          </cell>
          <cell r="BZ365">
            <v>-5691.65</v>
          </cell>
          <cell r="CA365">
            <v>0</v>
          </cell>
          <cell r="CB365">
            <v>0</v>
          </cell>
          <cell r="CC365">
            <v>0</v>
          </cell>
          <cell r="CD365">
            <v>0</v>
          </cell>
          <cell r="CE365">
            <v>-14669.15</v>
          </cell>
          <cell r="CF365">
            <v>0</v>
          </cell>
          <cell r="CG365">
            <v>-2211.61</v>
          </cell>
          <cell r="CH365">
            <v>0</v>
          </cell>
          <cell r="CI365">
            <v>-187.97</v>
          </cell>
          <cell r="CJ365">
            <v>0</v>
          </cell>
          <cell r="CK365">
            <v>0</v>
          </cell>
          <cell r="CL365">
            <v>0</v>
          </cell>
          <cell r="CM365">
            <v>-4005.72</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row>
        <row r="366">
          <cell r="A366" t="str">
            <v>7100800</v>
          </cell>
          <cell r="B366" t="str">
            <v>7100800</v>
          </cell>
          <cell r="C366" t="str">
            <v>Oth Inc/Exp-Misc</v>
          </cell>
          <cell r="D366">
            <v>-48</v>
          </cell>
          <cell r="E366">
            <v>-47</v>
          </cell>
          <cell r="F366">
            <v>-46</v>
          </cell>
          <cell r="G366">
            <v>-46</v>
          </cell>
          <cell r="H366">
            <v>-68</v>
          </cell>
          <cell r="I366">
            <v>-43</v>
          </cell>
          <cell r="J366">
            <v>-43</v>
          </cell>
          <cell r="K366">
            <v>-44</v>
          </cell>
          <cell r="L366">
            <v>-46</v>
          </cell>
          <cell r="M366">
            <v>-75</v>
          </cell>
          <cell r="N366">
            <v>-50</v>
          </cell>
          <cell r="O366">
            <v>-50</v>
          </cell>
          <cell r="P366">
            <v>-52</v>
          </cell>
          <cell r="Q366">
            <v>-51</v>
          </cell>
          <cell r="R366">
            <v>-49</v>
          </cell>
          <cell r="S366">
            <v>-78</v>
          </cell>
          <cell r="T366">
            <v>-52</v>
          </cell>
          <cell r="U366">
            <v>-53</v>
          </cell>
          <cell r="V366">
            <v>-49</v>
          </cell>
          <cell r="W366">
            <v>-50</v>
          </cell>
          <cell r="X366">
            <v>-52</v>
          </cell>
          <cell r="Y366">
            <v>-78</v>
          </cell>
          <cell r="Z366">
            <v>-50</v>
          </cell>
          <cell r="AA366">
            <v>-48</v>
          </cell>
          <cell r="AB366">
            <v>-48</v>
          </cell>
          <cell r="AC366">
            <v>-49</v>
          </cell>
          <cell r="AD366">
            <v>-75</v>
          </cell>
          <cell r="AE366">
            <v>-52</v>
          </cell>
          <cell r="AF366">
            <v>-52</v>
          </cell>
          <cell r="AG366">
            <v>-55</v>
          </cell>
          <cell r="AH366">
            <v>-53</v>
          </cell>
          <cell r="AI366">
            <v>-52</v>
          </cell>
          <cell r="AJ366">
            <v>-64.5</v>
          </cell>
          <cell r="AK366">
            <v>-40.5</v>
          </cell>
          <cell r="AL366">
            <v>-40</v>
          </cell>
          <cell r="AM366">
            <v>-40</v>
          </cell>
          <cell r="AN366">
            <v>-39.5</v>
          </cell>
          <cell r="AO366">
            <v>-22.5</v>
          </cell>
          <cell r="AP366">
            <v>-56</v>
          </cell>
          <cell r="AQ366">
            <v>-39</v>
          </cell>
          <cell r="AR366">
            <v>-25</v>
          </cell>
          <cell r="AS366">
            <v>-32</v>
          </cell>
          <cell r="AT366">
            <v>-32</v>
          </cell>
          <cell r="AU366">
            <v>-46</v>
          </cell>
          <cell r="AV366">
            <v>-32</v>
          </cell>
          <cell r="AW366">
            <v>-32</v>
          </cell>
          <cell r="AX366">
            <v>-32</v>
          </cell>
          <cell r="AY366">
            <v>-30</v>
          </cell>
          <cell r="AZ366">
            <v>-32</v>
          </cell>
          <cell r="BA366">
            <v>-34</v>
          </cell>
          <cell r="BB366">
            <v>-43</v>
          </cell>
          <cell r="BC366">
            <v>-29</v>
          </cell>
          <cell r="BD366">
            <v>-30</v>
          </cell>
          <cell r="BE366">
            <v>-30.5</v>
          </cell>
          <cell r="BF366">
            <v>-27</v>
          </cell>
          <cell r="BG366">
            <v>-37</v>
          </cell>
          <cell r="BH366">
            <v>-25</v>
          </cell>
          <cell r="BI366">
            <v>-25</v>
          </cell>
          <cell r="BJ366">
            <v>-25.5</v>
          </cell>
          <cell r="BK366">
            <v>-29</v>
          </cell>
          <cell r="BL366">
            <v>-43.5</v>
          </cell>
          <cell r="BM366">
            <v>-34</v>
          </cell>
          <cell r="BN366">
            <v>-25.5</v>
          </cell>
          <cell r="BO366">
            <v>-25</v>
          </cell>
          <cell r="BP366">
            <v>-25.5</v>
          </cell>
          <cell r="BQ366">
            <v>-28</v>
          </cell>
          <cell r="BR366">
            <v>-28.5</v>
          </cell>
          <cell r="BS366">
            <v>-40</v>
          </cell>
          <cell r="BT366">
            <v>-25.5</v>
          </cell>
          <cell r="BU366">
            <v>-23</v>
          </cell>
          <cell r="BV366">
            <v>-23.5</v>
          </cell>
          <cell r="BW366">
            <v>-24</v>
          </cell>
          <cell r="BX366">
            <v>-33.5</v>
          </cell>
          <cell r="BY366">
            <v>-26</v>
          </cell>
          <cell r="BZ366">
            <v>-25</v>
          </cell>
          <cell r="CA366">
            <v>-25</v>
          </cell>
          <cell r="CB366">
            <v>-25</v>
          </cell>
          <cell r="CC366">
            <v>-25</v>
          </cell>
          <cell r="CD366">
            <v>-35.5</v>
          </cell>
          <cell r="CE366">
            <v>-25</v>
          </cell>
          <cell r="CF366">
            <v>-25</v>
          </cell>
          <cell r="CG366">
            <v>-25</v>
          </cell>
          <cell r="CH366">
            <v>-25</v>
          </cell>
          <cell r="CI366">
            <v>-39.5</v>
          </cell>
          <cell r="CJ366">
            <v>-29</v>
          </cell>
          <cell r="CK366">
            <v>-29</v>
          </cell>
          <cell r="CL366">
            <v>-30.5</v>
          </cell>
          <cell r="CM366">
            <v>-32</v>
          </cell>
          <cell r="CN366">
            <v>-30</v>
          </cell>
          <cell r="CO366">
            <v>-29.5</v>
          </cell>
          <cell r="CP366">
            <v>-38.5</v>
          </cell>
          <cell r="CQ366">
            <v>-27</v>
          </cell>
          <cell r="CR366">
            <v>-27</v>
          </cell>
          <cell r="CS366">
            <v>-26</v>
          </cell>
          <cell r="CT366">
            <v>-26</v>
          </cell>
          <cell r="CU366">
            <v>-34.5</v>
          </cell>
          <cell r="CV366">
            <v>-23</v>
          </cell>
          <cell r="CW366">
            <v>-23</v>
          </cell>
          <cell r="CX366">
            <v>-22.5</v>
          </cell>
          <cell r="CY366">
            <v>-23</v>
          </cell>
          <cell r="CZ366">
            <v>-24.5</v>
          </cell>
          <cell r="DA366">
            <v>99068.71</v>
          </cell>
          <cell r="DB366">
            <v>-23</v>
          </cell>
          <cell r="DC366">
            <v>-23</v>
          </cell>
          <cell r="DD366">
            <v>-23</v>
          </cell>
          <cell r="DE366">
            <v>-27</v>
          </cell>
          <cell r="DF366">
            <v>-27</v>
          </cell>
          <cell r="DG366">
            <v>579.48</v>
          </cell>
          <cell r="DH366">
            <v>99409.19</v>
          </cell>
        </row>
        <row r="367">
          <cell r="A367" t="str">
            <v>7101000</v>
          </cell>
          <cell r="B367" t="str">
            <v>7101000</v>
          </cell>
          <cell r="C367" t="str">
            <v>Gain Sale Util Prop</v>
          </cell>
          <cell r="AH367">
            <v>-178382.13</v>
          </cell>
          <cell r="AI367">
            <v>-178382.13</v>
          </cell>
          <cell r="AJ367">
            <v>-178382.13</v>
          </cell>
          <cell r="AK367">
            <v>-178382.13</v>
          </cell>
          <cell r="AL367">
            <v>-178382.13</v>
          </cell>
          <cell r="AM367">
            <v>-178382.13</v>
          </cell>
          <cell r="AN367">
            <v>-178382.13</v>
          </cell>
          <cell r="AO367">
            <v>-178382.13</v>
          </cell>
          <cell r="AP367">
            <v>-178382.13</v>
          </cell>
          <cell r="AQ367">
            <v>-178382.13</v>
          </cell>
          <cell r="AR367">
            <v>-178382.13</v>
          </cell>
          <cell r="AS367">
            <v>-178382.13</v>
          </cell>
          <cell r="AT367">
            <v>-178382.13</v>
          </cell>
          <cell r="AU367">
            <v>-178382.13</v>
          </cell>
          <cell r="AV367">
            <v>-178382.13</v>
          </cell>
          <cell r="AW367">
            <v>-178382.13</v>
          </cell>
          <cell r="AX367">
            <v>-178382.13</v>
          </cell>
          <cell r="AY367">
            <v>-178382.13</v>
          </cell>
          <cell r="AZ367">
            <v>-178382.13</v>
          </cell>
          <cell r="BA367">
            <v>-178382.13</v>
          </cell>
          <cell r="BB367">
            <v>-178382.13</v>
          </cell>
          <cell r="BC367">
            <v>-178382.13</v>
          </cell>
          <cell r="BD367">
            <v>-178382.13</v>
          </cell>
          <cell r="BE367">
            <v>-178382.13</v>
          </cell>
          <cell r="BF367">
            <v>-178382.13</v>
          </cell>
          <cell r="BG367">
            <v>-178382.13</v>
          </cell>
          <cell r="BH367">
            <v>-178382.13</v>
          </cell>
          <cell r="BI367">
            <v>-178382.13</v>
          </cell>
          <cell r="BJ367">
            <v>-178382.13</v>
          </cell>
          <cell r="BK367">
            <v>-178382.13</v>
          </cell>
          <cell r="BL367">
            <v>-178382.13</v>
          </cell>
          <cell r="BM367">
            <v>-178382.13</v>
          </cell>
          <cell r="BN367">
            <v>-178382.13</v>
          </cell>
          <cell r="BO367">
            <v>-178382.13</v>
          </cell>
          <cell r="BP367">
            <v>-178382.13</v>
          </cell>
          <cell r="BQ367">
            <v>-178382.13</v>
          </cell>
          <cell r="BR367">
            <v>-178382.13</v>
          </cell>
          <cell r="BS367">
            <v>-178382.13</v>
          </cell>
          <cell r="BT367">
            <v>-178382.13</v>
          </cell>
          <cell r="BU367">
            <v>-178382.13</v>
          </cell>
          <cell r="BV367">
            <v>-178382.13</v>
          </cell>
          <cell r="BW367">
            <v>-178382.13</v>
          </cell>
          <cell r="BX367">
            <v>-178382.13</v>
          </cell>
          <cell r="BY367">
            <v>-178382.13</v>
          </cell>
          <cell r="BZ367">
            <v>-178382.13</v>
          </cell>
          <cell r="CA367">
            <v>-178382.13</v>
          </cell>
          <cell r="CB367">
            <v>-134554.43</v>
          </cell>
          <cell r="CC367">
            <v>-156002.03</v>
          </cell>
          <cell r="CD367">
            <v>-21447.55</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-13450.42</v>
          </cell>
          <cell r="CZ367">
            <v>-13450.42</v>
          </cell>
          <cell r="DA367">
            <v>-13450.42</v>
          </cell>
          <cell r="DB367">
            <v>-13450.42</v>
          </cell>
          <cell r="DC367">
            <v>-46401.599999999999</v>
          </cell>
          <cell r="DD367">
            <v>-46401.599999999999</v>
          </cell>
          <cell r="DE367">
            <v>-46401.599999999999</v>
          </cell>
          <cell r="DF367">
            <v>-46401.599999999999</v>
          </cell>
          <cell r="DG367">
            <v>-46401.599999999999</v>
          </cell>
          <cell r="DH367">
            <v>-285809.68</v>
          </cell>
        </row>
        <row r="368">
          <cell r="A368" t="str">
            <v>7102000</v>
          </cell>
          <cell r="B368" t="str">
            <v>7102000</v>
          </cell>
          <cell r="C368" t="str">
            <v>CurrAdj Real Gain</v>
          </cell>
          <cell r="AZ368">
            <v>0</v>
          </cell>
          <cell r="BA368">
            <v>0</v>
          </cell>
          <cell r="BB368">
            <v>-161.44</v>
          </cell>
          <cell r="BC368">
            <v>39026.239999999998</v>
          </cell>
          <cell r="BD368">
            <v>0</v>
          </cell>
          <cell r="BE368">
            <v>-18.850000000000001</v>
          </cell>
          <cell r="BF368">
            <v>0</v>
          </cell>
          <cell r="BG368">
            <v>0</v>
          </cell>
          <cell r="BH368">
            <v>0</v>
          </cell>
          <cell r="BI368">
            <v>0</v>
          </cell>
          <cell r="BJ368">
            <v>0</v>
          </cell>
          <cell r="BK368">
            <v>-12.47</v>
          </cell>
          <cell r="BL368">
            <v>0</v>
          </cell>
          <cell r="BM368">
            <v>0</v>
          </cell>
          <cell r="BN368">
            <v>0</v>
          </cell>
          <cell r="BO368">
            <v>-342.88</v>
          </cell>
          <cell r="BP368">
            <v>0</v>
          </cell>
          <cell r="BQ368">
            <v>0</v>
          </cell>
          <cell r="BR368">
            <v>0</v>
          </cell>
          <cell r="BS368">
            <v>-2526.56</v>
          </cell>
          <cell r="BT368">
            <v>0</v>
          </cell>
          <cell r="BU368">
            <v>0</v>
          </cell>
          <cell r="BV368">
            <v>0</v>
          </cell>
          <cell r="BW368">
            <v>0</v>
          </cell>
          <cell r="BX368">
            <v>0</v>
          </cell>
          <cell r="BY368">
            <v>0</v>
          </cell>
          <cell r="BZ368">
            <v>-1998.92</v>
          </cell>
          <cell r="CA368">
            <v>2975</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-241.19</v>
          </cell>
          <cell r="CQ368">
            <v>0</v>
          </cell>
          <cell r="CR368">
            <v>0</v>
          </cell>
          <cell r="CS368">
            <v>0</v>
          </cell>
          <cell r="CT368">
            <v>-117.02</v>
          </cell>
          <cell r="CU368">
            <v>-94.72</v>
          </cell>
          <cell r="CV368">
            <v>0</v>
          </cell>
          <cell r="CW368">
            <v>0</v>
          </cell>
          <cell r="CX368">
            <v>0</v>
          </cell>
          <cell r="CY368">
            <v>0</v>
          </cell>
          <cell r="CZ368">
            <v>0</v>
          </cell>
          <cell r="DA368">
            <v>0</v>
          </cell>
          <cell r="DB368">
            <v>0</v>
          </cell>
          <cell r="DC368">
            <v>0</v>
          </cell>
          <cell r="DD368">
            <v>-6247.04</v>
          </cell>
          <cell r="DE368">
            <v>-3448.61</v>
          </cell>
          <cell r="DF368">
            <v>0</v>
          </cell>
          <cell r="DG368">
            <v>1496.92</v>
          </cell>
          <cell r="DH368">
            <v>-8198.73</v>
          </cell>
        </row>
        <row r="369">
          <cell r="A369" t="str">
            <v>7102100</v>
          </cell>
          <cell r="B369" t="str">
            <v>7102100</v>
          </cell>
          <cell r="C369" t="str">
            <v>CurrAdj Unreal Gain</v>
          </cell>
          <cell r="AK369">
            <v>0</v>
          </cell>
          <cell r="AL369">
            <v>0</v>
          </cell>
          <cell r="AM369">
            <v>19.100000000000001</v>
          </cell>
          <cell r="AN369">
            <v>0</v>
          </cell>
          <cell r="AO369">
            <v>0</v>
          </cell>
          <cell r="AP369">
            <v>-19.100000000000001</v>
          </cell>
          <cell r="AQ369">
            <v>0</v>
          </cell>
          <cell r="AR369">
            <v>0</v>
          </cell>
          <cell r="AS369">
            <v>0</v>
          </cell>
          <cell r="AT369">
            <v>0</v>
          </cell>
          <cell r="AU369">
            <v>0</v>
          </cell>
          <cell r="AV369">
            <v>0</v>
          </cell>
          <cell r="AW369">
            <v>-56.83</v>
          </cell>
          <cell r="AX369">
            <v>56.83</v>
          </cell>
          <cell r="AY369">
            <v>0</v>
          </cell>
          <cell r="AZ369">
            <v>0</v>
          </cell>
          <cell r="BA369">
            <v>-1188.0999999999999</v>
          </cell>
          <cell r="BB369">
            <v>1188.0999999999999</v>
          </cell>
          <cell r="BC369">
            <v>-36.619999999999997</v>
          </cell>
          <cell r="BD369">
            <v>-20.51</v>
          </cell>
          <cell r="BE369">
            <v>-82.5</v>
          </cell>
          <cell r="BF369">
            <v>-1660.88</v>
          </cell>
          <cell r="BG369">
            <v>-144.03</v>
          </cell>
          <cell r="BH369">
            <v>-1207.02</v>
          </cell>
          <cell r="BI369">
            <v>-428.82</v>
          </cell>
          <cell r="BJ369">
            <v>-664.97</v>
          </cell>
          <cell r="BK369">
            <v>-1524.85</v>
          </cell>
          <cell r="BL369">
            <v>-5453.53</v>
          </cell>
          <cell r="BM369">
            <v>-112.17</v>
          </cell>
          <cell r="BN369">
            <v>-1029.8</v>
          </cell>
          <cell r="BO369">
            <v>3646.31</v>
          </cell>
          <cell r="BP369">
            <v>-62.37</v>
          </cell>
          <cell r="BQ369">
            <v>8814.2099999999991</v>
          </cell>
          <cell r="BR369">
            <v>-5380.94</v>
          </cell>
          <cell r="BS369">
            <v>5479.95</v>
          </cell>
          <cell r="BT369">
            <v>145.38999999999999</v>
          </cell>
          <cell r="BU369">
            <v>18.010000000000002</v>
          </cell>
          <cell r="BV369">
            <v>-185.42</v>
          </cell>
          <cell r="BW369">
            <v>185.42</v>
          </cell>
          <cell r="BX369">
            <v>-918.74</v>
          </cell>
          <cell r="BY369">
            <v>-2109.54</v>
          </cell>
          <cell r="BZ369">
            <v>875.25</v>
          </cell>
          <cell r="CA369">
            <v>2153.0300000000002</v>
          </cell>
          <cell r="CB369">
            <v>0</v>
          </cell>
          <cell r="CC369">
            <v>-1597.18</v>
          </cell>
          <cell r="CD369">
            <v>469.92</v>
          </cell>
          <cell r="CE369">
            <v>1127.26</v>
          </cell>
          <cell r="CF369">
            <v>-739.55</v>
          </cell>
          <cell r="CG369">
            <v>-32.700000000000003</v>
          </cell>
          <cell r="CH369">
            <v>764.3</v>
          </cell>
          <cell r="CI369">
            <v>0</v>
          </cell>
          <cell r="CJ369">
            <v>-874.71</v>
          </cell>
          <cell r="CK369">
            <v>874.71</v>
          </cell>
          <cell r="CL369">
            <v>-19.64</v>
          </cell>
          <cell r="CM369">
            <v>19.64</v>
          </cell>
          <cell r="CN369">
            <v>0</v>
          </cell>
          <cell r="CO369">
            <v>-2691.33</v>
          </cell>
          <cell r="CP369">
            <v>2691.33</v>
          </cell>
          <cell r="CQ369">
            <v>-106.74</v>
          </cell>
          <cell r="CR369">
            <v>-1421.45</v>
          </cell>
          <cell r="CS369">
            <v>1528.19</v>
          </cell>
          <cell r="CT369">
            <v>-2675.34</v>
          </cell>
          <cell r="CU369">
            <v>2675.34</v>
          </cell>
          <cell r="CV369">
            <v>-1708.79</v>
          </cell>
          <cell r="CW369">
            <v>1708.79</v>
          </cell>
          <cell r="CX369">
            <v>0</v>
          </cell>
          <cell r="CY369">
            <v>-2300.8200000000002</v>
          </cell>
          <cell r="CZ369">
            <v>3334.34</v>
          </cell>
          <cell r="DA369">
            <v>-2849.23</v>
          </cell>
          <cell r="DB369">
            <v>1815.71</v>
          </cell>
          <cell r="DC369">
            <v>-2606.79</v>
          </cell>
          <cell r="DD369">
            <v>-5044.1499999999996</v>
          </cell>
          <cell r="DE369">
            <v>7650.94</v>
          </cell>
          <cell r="DF369">
            <v>-912.26</v>
          </cell>
          <cell r="DG369">
            <v>912.26</v>
          </cell>
          <cell r="DH369">
            <v>0</v>
          </cell>
        </row>
        <row r="370">
          <cell r="A370" t="str">
            <v>7103020</v>
          </cell>
          <cell r="B370" t="str">
            <v>7103020</v>
          </cell>
          <cell r="C370" t="str">
            <v>Jobbing Revenue</v>
          </cell>
          <cell r="D370">
            <v>-1875</v>
          </cell>
          <cell r="E370">
            <v>3655</v>
          </cell>
          <cell r="F370">
            <v>-1145</v>
          </cell>
          <cell r="G370">
            <v>-10415</v>
          </cell>
          <cell r="H370">
            <v>1325</v>
          </cell>
          <cell r="I370">
            <v>-1560</v>
          </cell>
          <cell r="J370">
            <v>-1000</v>
          </cell>
          <cell r="K370">
            <v>-42.5</v>
          </cell>
          <cell r="L370">
            <v>-2900</v>
          </cell>
          <cell r="M370">
            <v>-468</v>
          </cell>
          <cell r="N370">
            <v>965.5</v>
          </cell>
          <cell r="O370">
            <v>-75</v>
          </cell>
          <cell r="P370">
            <v>-9126</v>
          </cell>
          <cell r="Q370">
            <v>5641.39</v>
          </cell>
          <cell r="R370">
            <v>-70</v>
          </cell>
          <cell r="S370">
            <v>-73</v>
          </cell>
          <cell r="T370">
            <v>-3135</v>
          </cell>
          <cell r="U370">
            <v>1385</v>
          </cell>
          <cell r="V370">
            <v>-455</v>
          </cell>
          <cell r="W370">
            <v>-780</v>
          </cell>
          <cell r="X370">
            <v>-1772</v>
          </cell>
          <cell r="Y370">
            <v>-640</v>
          </cell>
          <cell r="Z370">
            <v>-75</v>
          </cell>
          <cell r="AA370">
            <v>-1222</v>
          </cell>
          <cell r="AB370">
            <v>-255</v>
          </cell>
          <cell r="AC370">
            <v>-850</v>
          </cell>
          <cell r="AD370">
            <v>-585</v>
          </cell>
          <cell r="AE370">
            <v>-510</v>
          </cell>
          <cell r="AF370">
            <v>-2080</v>
          </cell>
          <cell r="AG370">
            <v>-5455</v>
          </cell>
          <cell r="AH370">
            <v>-875</v>
          </cell>
          <cell r="AI370">
            <v>-810</v>
          </cell>
          <cell r="AJ370">
            <v>125.77</v>
          </cell>
          <cell r="AK370">
            <v>-4210</v>
          </cell>
          <cell r="AL370">
            <v>0</v>
          </cell>
          <cell r="AM370">
            <v>2335</v>
          </cell>
          <cell r="AN370">
            <v>0</v>
          </cell>
          <cell r="AO370">
            <v>0</v>
          </cell>
          <cell r="AP370">
            <v>0</v>
          </cell>
          <cell r="AQ370">
            <v>0</v>
          </cell>
          <cell r="AR370">
            <v>0</v>
          </cell>
          <cell r="AS370">
            <v>-260</v>
          </cell>
          <cell r="AT370">
            <v>0</v>
          </cell>
          <cell r="AU370">
            <v>-140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-260</v>
          </cell>
          <cell r="BW370">
            <v>0</v>
          </cell>
          <cell r="BX370">
            <v>0</v>
          </cell>
          <cell r="BY370">
            <v>0</v>
          </cell>
          <cell r="BZ370">
            <v>0</v>
          </cell>
          <cell r="CA370">
            <v>0</v>
          </cell>
          <cell r="CB370">
            <v>-283.32</v>
          </cell>
          <cell r="CC370">
            <v>0</v>
          </cell>
          <cell r="CD370">
            <v>0</v>
          </cell>
          <cell r="CE370">
            <v>0</v>
          </cell>
          <cell r="CF370">
            <v>0</v>
          </cell>
          <cell r="CG370">
            <v>-200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-75</v>
          </cell>
          <cell r="DB370">
            <v>0</v>
          </cell>
          <cell r="DC370">
            <v>0</v>
          </cell>
          <cell r="DD370">
            <v>0</v>
          </cell>
          <cell r="DE370">
            <v>0</v>
          </cell>
          <cell r="DF370">
            <v>0</v>
          </cell>
          <cell r="DG370">
            <v>0</v>
          </cell>
          <cell r="DH370">
            <v>-75</v>
          </cell>
        </row>
        <row r="371">
          <cell r="A371" t="str">
            <v>7103060</v>
          </cell>
          <cell r="B371" t="str">
            <v>7103060</v>
          </cell>
          <cell r="C371" t="str">
            <v>CIAC</v>
          </cell>
          <cell r="D371">
            <v>-270754.78999999998</v>
          </cell>
          <cell r="E371">
            <v>-58833.5</v>
          </cell>
          <cell r="F371">
            <v>-111585.79</v>
          </cell>
          <cell r="G371">
            <v>-65864.429999999993</v>
          </cell>
          <cell r="H371">
            <v>-101929.74</v>
          </cell>
          <cell r="I371">
            <v>-285989.12</v>
          </cell>
          <cell r="J371">
            <v>-77132.179999999993</v>
          </cell>
          <cell r="K371">
            <v>-302484.2</v>
          </cell>
          <cell r="L371">
            <v>-160011.57999999999</v>
          </cell>
          <cell r="M371">
            <v>-93278.36</v>
          </cell>
          <cell r="N371">
            <v>-51273.38</v>
          </cell>
          <cell r="O371">
            <v>-120860.81</v>
          </cell>
          <cell r="P371">
            <v>-44634.95</v>
          </cell>
          <cell r="Q371">
            <v>-44174.080000000002</v>
          </cell>
          <cell r="R371">
            <v>-66319.58</v>
          </cell>
          <cell r="S371">
            <v>-129770</v>
          </cell>
          <cell r="T371">
            <v>-440448.58</v>
          </cell>
          <cell r="U371">
            <v>-129743.83</v>
          </cell>
          <cell r="V371">
            <v>-93615.98</v>
          </cell>
          <cell r="W371">
            <v>-42785.96</v>
          </cell>
          <cell r="X371">
            <v>-205791.62</v>
          </cell>
          <cell r="Y371">
            <v>-45799.87</v>
          </cell>
          <cell r="Z371">
            <v>-66691.899999999994</v>
          </cell>
          <cell r="AA371">
            <v>-71751.929999999993</v>
          </cell>
          <cell r="AB371">
            <v>-61753.65</v>
          </cell>
          <cell r="AC371">
            <v>-83352.789999999994</v>
          </cell>
          <cell r="AD371">
            <v>-136948.20000000001</v>
          </cell>
          <cell r="AE371">
            <v>-99073.75</v>
          </cell>
          <cell r="AF371">
            <v>-102444.42</v>
          </cell>
          <cell r="AG371">
            <v>-107222.02</v>
          </cell>
          <cell r="AH371">
            <v>-213077.19</v>
          </cell>
          <cell r="AI371">
            <v>-368734.44</v>
          </cell>
          <cell r="AJ371">
            <v>-155970.64000000001</v>
          </cell>
          <cell r="AK371">
            <v>-83866.559999999998</v>
          </cell>
          <cell r="AL371">
            <v>-108594.95</v>
          </cell>
          <cell r="AM371">
            <v>-41147.9</v>
          </cell>
          <cell r="AN371">
            <v>-309832.71000000002</v>
          </cell>
          <cell r="AO371">
            <v>-51558.83</v>
          </cell>
          <cell r="AP371">
            <v>-53658.39</v>
          </cell>
          <cell r="AQ371">
            <v>-78958</v>
          </cell>
          <cell r="AR371">
            <v>-73038.48</v>
          </cell>
          <cell r="AS371">
            <v>-75122</v>
          </cell>
          <cell r="AT371">
            <v>-642807</v>
          </cell>
          <cell r="AU371">
            <v>-231492</v>
          </cell>
          <cell r="AV371">
            <v>-95223.57</v>
          </cell>
          <cell r="AW371">
            <v>-97515</v>
          </cell>
          <cell r="AX371">
            <v>-200589.02</v>
          </cell>
          <cell r="AY371">
            <v>-177959.82</v>
          </cell>
          <cell r="AZ371">
            <v>-139376.16</v>
          </cell>
          <cell r="BA371">
            <v>-254024.26</v>
          </cell>
          <cell r="BB371">
            <v>-102967</v>
          </cell>
          <cell r="BC371">
            <v>-285206.33</v>
          </cell>
          <cell r="BD371">
            <v>-252607.21</v>
          </cell>
          <cell r="BE371">
            <v>-447034.64</v>
          </cell>
          <cell r="BF371">
            <v>-299507.63</v>
          </cell>
          <cell r="BG371">
            <v>-276698</v>
          </cell>
          <cell r="BH371">
            <v>-128130.24000000001</v>
          </cell>
          <cell r="BI371">
            <v>-160897</v>
          </cell>
          <cell r="BJ371">
            <v>-157433.51</v>
          </cell>
          <cell r="BK371">
            <v>-129715</v>
          </cell>
          <cell r="BL371">
            <v>-166132.70000000001</v>
          </cell>
          <cell r="BM371">
            <v>-108010</v>
          </cell>
          <cell r="BN371">
            <v>-193619.97</v>
          </cell>
          <cell r="BO371">
            <v>-336297.62</v>
          </cell>
          <cell r="BP371">
            <v>-141740</v>
          </cell>
          <cell r="BQ371">
            <v>-203895.25</v>
          </cell>
          <cell r="BR371">
            <v>-198251</v>
          </cell>
          <cell r="BS371">
            <v>-206992.36</v>
          </cell>
          <cell r="BT371">
            <v>-936286.5</v>
          </cell>
          <cell r="BU371">
            <v>-940303.99</v>
          </cell>
          <cell r="BV371">
            <v>-115026</v>
          </cell>
          <cell r="BW371">
            <v>-172705</v>
          </cell>
          <cell r="BX371">
            <v>-316988.84000000003</v>
          </cell>
          <cell r="BY371">
            <v>-210792</v>
          </cell>
          <cell r="BZ371">
            <v>-195316</v>
          </cell>
          <cell r="CA371">
            <v>-1350723.03</v>
          </cell>
          <cell r="CB371">
            <v>-174389.9</v>
          </cell>
          <cell r="CC371">
            <v>-289571</v>
          </cell>
          <cell r="CD371">
            <v>-217697.67</v>
          </cell>
          <cell r="CE371">
            <v>-189226</v>
          </cell>
          <cell r="CF371">
            <v>-140836.01999999999</v>
          </cell>
          <cell r="CG371">
            <v>-205667.64</v>
          </cell>
          <cell r="CH371">
            <v>-86848.28</v>
          </cell>
          <cell r="CI371">
            <v>-345711.35</v>
          </cell>
          <cell r="CJ371">
            <v>-393051.22</v>
          </cell>
          <cell r="CK371">
            <v>-273838.42</v>
          </cell>
          <cell r="CL371">
            <v>-360495.78</v>
          </cell>
          <cell r="CM371">
            <v>-149016.44</v>
          </cell>
          <cell r="CN371">
            <v>-185667.12</v>
          </cell>
          <cell r="CO371">
            <v>-271149.36</v>
          </cell>
          <cell r="CP371">
            <v>-235614.73</v>
          </cell>
          <cell r="CQ371">
            <v>-141267.48000000001</v>
          </cell>
          <cell r="CR371">
            <v>-172253.82</v>
          </cell>
          <cell r="CS371">
            <v>-215619.49</v>
          </cell>
          <cell r="CT371">
            <v>-136982.68</v>
          </cell>
          <cell r="CU371">
            <v>-105536.6</v>
          </cell>
          <cell r="CV371">
            <v>-276097</v>
          </cell>
          <cell r="CW371">
            <v>-376941.27</v>
          </cell>
          <cell r="CX371">
            <v>-115855.81</v>
          </cell>
          <cell r="CY371">
            <v>-127558.2</v>
          </cell>
          <cell r="CZ371">
            <v>-390082.55</v>
          </cell>
          <cell r="DA371">
            <v>-236282.2</v>
          </cell>
          <cell r="DB371">
            <v>-184926.96</v>
          </cell>
          <cell r="DC371">
            <v>-237647.44</v>
          </cell>
          <cell r="DD371">
            <v>-146211.6</v>
          </cell>
          <cell r="DE371">
            <v>-334931</v>
          </cell>
          <cell r="DF371">
            <v>-416143.81</v>
          </cell>
          <cell r="DG371">
            <v>-674399.04</v>
          </cell>
          <cell r="DH371">
            <v>-3517076.8800000004</v>
          </cell>
        </row>
        <row r="372">
          <cell r="A372" t="str">
            <v>7103070</v>
          </cell>
          <cell r="B372" t="str">
            <v>7103070</v>
          </cell>
          <cell r="C372" t="str">
            <v>MSEA/MEP Credits</v>
          </cell>
          <cell r="D372">
            <v>-94992.960000000006</v>
          </cell>
          <cell r="E372">
            <v>-127227.25</v>
          </cell>
          <cell r="F372">
            <v>-78594.31</v>
          </cell>
          <cell r="G372">
            <v>-73169.84</v>
          </cell>
          <cell r="H372">
            <v>-55505.19</v>
          </cell>
          <cell r="I372">
            <v>-48094.65</v>
          </cell>
          <cell r="J372">
            <v>-45389.69</v>
          </cell>
          <cell r="K372">
            <v>-42434.19</v>
          </cell>
          <cell r="L372">
            <v>-43794.04</v>
          </cell>
          <cell r="M372">
            <v>-45902.82</v>
          </cell>
          <cell r="N372">
            <v>-57947.89</v>
          </cell>
          <cell r="O372">
            <v>-73909.31</v>
          </cell>
          <cell r="P372">
            <v>-99204.99</v>
          </cell>
          <cell r="Q372">
            <v>-113440.53</v>
          </cell>
          <cell r="R372">
            <v>-110512.3</v>
          </cell>
          <cell r="S372">
            <v>-69132.14</v>
          </cell>
          <cell r="T372">
            <v>-50133.78</v>
          </cell>
          <cell r="U372">
            <v>-48733.43</v>
          </cell>
          <cell r="V372">
            <v>-45138.48</v>
          </cell>
          <cell r="W372">
            <v>-32977.21</v>
          </cell>
          <cell r="X372">
            <v>-32480.99</v>
          </cell>
          <cell r="Y372">
            <v>-33478.400000000001</v>
          </cell>
          <cell r="Z372">
            <v>-38216.800000000003</v>
          </cell>
          <cell r="AA372">
            <v>-39015.82</v>
          </cell>
          <cell r="AB372">
            <v>-45866.38</v>
          </cell>
          <cell r="AC372">
            <v>-48611.49</v>
          </cell>
          <cell r="AD372">
            <v>-30605.62</v>
          </cell>
          <cell r="AE372">
            <v>-25992.12</v>
          </cell>
          <cell r="AF372">
            <v>-22974.99</v>
          </cell>
          <cell r="AG372">
            <v>-20031.09</v>
          </cell>
          <cell r="AH372">
            <v>-17495.59</v>
          </cell>
          <cell r="AI372">
            <v>-17151.560000000001</v>
          </cell>
          <cell r="AJ372">
            <v>-400.62</v>
          </cell>
          <cell r="AK372">
            <v>-611.04999999999995</v>
          </cell>
          <cell r="AL372">
            <v>-782.39</v>
          </cell>
          <cell r="AM372">
            <v>-901.81</v>
          </cell>
          <cell r="AN372">
            <v>-1053.8499999999999</v>
          </cell>
          <cell r="AO372">
            <v>-1087.5</v>
          </cell>
          <cell r="AP372">
            <v>-1211.8499999999999</v>
          </cell>
          <cell r="AQ372">
            <v>-1303.5999999999999</v>
          </cell>
          <cell r="AR372">
            <v>-1534.05</v>
          </cell>
          <cell r="AS372">
            <v>-1701.1</v>
          </cell>
          <cell r="AT372">
            <v>-1800.45</v>
          </cell>
          <cell r="AU372">
            <v>-1855.5</v>
          </cell>
          <cell r="AV372">
            <v>-2018.25</v>
          </cell>
          <cell r="AW372">
            <v>-2007.55</v>
          </cell>
          <cell r="AX372">
            <v>-2291.1</v>
          </cell>
          <cell r="AY372">
            <v>-2593.25</v>
          </cell>
          <cell r="AZ372">
            <v>-3024.45</v>
          </cell>
          <cell r="BA372">
            <v>-2945.5</v>
          </cell>
          <cell r="BB372">
            <v>-3133.45</v>
          </cell>
          <cell r="BC372">
            <v>-3236.05</v>
          </cell>
          <cell r="BD372">
            <v>-3408.05</v>
          </cell>
          <cell r="BE372">
            <v>-3446.7</v>
          </cell>
          <cell r="BF372">
            <v>-3618.5</v>
          </cell>
          <cell r="BG372">
            <v>-3723.05</v>
          </cell>
          <cell r="BH372">
            <v>-3956</v>
          </cell>
          <cell r="BI372">
            <v>-4317.45</v>
          </cell>
          <cell r="BJ372">
            <v>-4440.95</v>
          </cell>
          <cell r="BK372">
            <v>-4727.1499999999996</v>
          </cell>
          <cell r="BL372">
            <v>-4821.3999999999996</v>
          </cell>
          <cell r="BM372">
            <v>-4944.3999999999996</v>
          </cell>
          <cell r="BN372">
            <v>-5100</v>
          </cell>
          <cell r="BO372">
            <v>-5189.3999999999996</v>
          </cell>
          <cell r="BP372">
            <v>-5389.45</v>
          </cell>
          <cell r="BQ372">
            <v>-5508.25</v>
          </cell>
          <cell r="BR372">
            <v>-5661.25</v>
          </cell>
          <cell r="BS372">
            <v>-5666.55</v>
          </cell>
          <cell r="BT372">
            <v>-5882.6</v>
          </cell>
          <cell r="BU372">
            <v>-5919.95</v>
          </cell>
          <cell r="BV372">
            <v>-6109.45</v>
          </cell>
          <cell r="BW372">
            <v>-6298.35</v>
          </cell>
          <cell r="BX372">
            <v>-6492.1</v>
          </cell>
          <cell r="BY372">
            <v>-6629.2</v>
          </cell>
          <cell r="BZ372">
            <v>-6776.5</v>
          </cell>
          <cell r="CA372">
            <v>-6904.9</v>
          </cell>
          <cell r="CB372">
            <v>-7114.75</v>
          </cell>
          <cell r="CC372">
            <v>-7208.1</v>
          </cell>
          <cell r="CD372">
            <v>-7324.4</v>
          </cell>
          <cell r="CE372">
            <v>-7429.65</v>
          </cell>
          <cell r="CF372">
            <v>-7436.45</v>
          </cell>
          <cell r="CG372">
            <v>-7729</v>
          </cell>
          <cell r="CH372">
            <v>-7893</v>
          </cell>
          <cell r="CI372">
            <v>-7944.9</v>
          </cell>
          <cell r="CJ372">
            <v>-8081.1</v>
          </cell>
          <cell r="CK372">
            <v>-8228.0499999999993</v>
          </cell>
          <cell r="CL372">
            <v>-8416</v>
          </cell>
          <cell r="CM372">
            <v>-8448.9500000000007</v>
          </cell>
          <cell r="CN372">
            <v>-8554.1</v>
          </cell>
          <cell r="CO372">
            <v>-8642.75</v>
          </cell>
          <cell r="CP372">
            <v>-8679.5</v>
          </cell>
          <cell r="CQ372">
            <v>-8830.7999999999993</v>
          </cell>
          <cell r="CR372">
            <v>-8981.75</v>
          </cell>
          <cell r="CS372">
            <v>-9018.7999999999993</v>
          </cell>
          <cell r="CT372">
            <v>-9087.25</v>
          </cell>
          <cell r="CU372">
            <v>-9116.6</v>
          </cell>
          <cell r="CV372">
            <v>-9209.6</v>
          </cell>
          <cell r="CW372">
            <v>-9262.15</v>
          </cell>
          <cell r="CX372">
            <v>-9401.2000000000007</v>
          </cell>
          <cell r="CY372">
            <v>-9441.6</v>
          </cell>
          <cell r="CZ372">
            <v>-9573.75</v>
          </cell>
          <cell r="DA372">
            <v>-9540.7999999999993</v>
          </cell>
          <cell r="DB372">
            <v>-9662</v>
          </cell>
          <cell r="DC372">
            <v>-9687.7000000000007</v>
          </cell>
          <cell r="DD372">
            <v>-9773.1</v>
          </cell>
          <cell r="DE372">
            <v>-9855.9</v>
          </cell>
          <cell r="DF372">
            <v>-9881.2000000000007</v>
          </cell>
          <cell r="DG372">
            <v>-9900.9</v>
          </cell>
          <cell r="DH372">
            <v>-115189.9</v>
          </cell>
        </row>
        <row r="373">
          <cell r="A373" t="str">
            <v>7109000</v>
          </cell>
          <cell r="B373" t="str">
            <v>7109000</v>
          </cell>
          <cell r="C373" t="str">
            <v>Oth Inc to BalSheet</v>
          </cell>
          <cell r="D373">
            <v>365747.75</v>
          </cell>
          <cell r="E373">
            <v>186060.75</v>
          </cell>
          <cell r="F373">
            <v>194991.42</v>
          </cell>
          <cell r="G373">
            <v>129909.27</v>
          </cell>
          <cell r="H373">
            <v>157434.93</v>
          </cell>
          <cell r="I373">
            <v>334083.77</v>
          </cell>
          <cell r="J373">
            <v>122521.87</v>
          </cell>
          <cell r="K373">
            <v>344918.39</v>
          </cell>
          <cell r="L373">
            <v>203805.62</v>
          </cell>
          <cell r="M373">
            <v>138188.42000000001</v>
          </cell>
          <cell r="N373">
            <v>109221.27</v>
          </cell>
          <cell r="O373">
            <v>194020.12</v>
          </cell>
          <cell r="P373">
            <v>142057.94</v>
          </cell>
          <cell r="Q373">
            <v>157556.60999999999</v>
          </cell>
          <cell r="R373">
            <v>176671.88</v>
          </cell>
          <cell r="S373">
            <v>197644.14</v>
          </cell>
          <cell r="T373">
            <v>489532.36</v>
          </cell>
          <cell r="U373">
            <v>172247.43</v>
          </cell>
          <cell r="V373">
            <v>134344.85999999999</v>
          </cell>
          <cell r="W373">
            <v>75763.17</v>
          </cell>
          <cell r="X373">
            <v>237822.61</v>
          </cell>
          <cell r="Y373">
            <v>78429.440000000002</v>
          </cell>
          <cell r="Z373">
            <v>104908.7</v>
          </cell>
          <cell r="AA373">
            <v>110767.75</v>
          </cell>
          <cell r="AB373">
            <v>107620.03</v>
          </cell>
          <cell r="AC373">
            <v>131964.28</v>
          </cell>
          <cell r="AD373">
            <v>165553.82</v>
          </cell>
          <cell r="AE373">
            <v>125065.87</v>
          </cell>
          <cell r="AF373">
            <v>125419.41</v>
          </cell>
          <cell r="AG373">
            <v>127253.11</v>
          </cell>
          <cell r="AH373">
            <v>225681.78</v>
          </cell>
          <cell r="AI373">
            <v>385886</v>
          </cell>
          <cell r="AJ373">
            <v>156371.26</v>
          </cell>
          <cell r="AK373">
            <v>84477.61</v>
          </cell>
          <cell r="AL373">
            <v>109377.34</v>
          </cell>
          <cell r="AM373">
            <v>42049.71</v>
          </cell>
          <cell r="AN373">
            <v>251595.56</v>
          </cell>
          <cell r="AO373">
            <v>52640.18</v>
          </cell>
          <cell r="AP373">
            <v>53658.39</v>
          </cell>
          <cell r="AQ373">
            <v>78958</v>
          </cell>
          <cell r="AR373">
            <v>70748.759999999995</v>
          </cell>
          <cell r="AS373">
            <v>71206.05</v>
          </cell>
          <cell r="AT373">
            <v>644404.6</v>
          </cell>
          <cell r="AU373">
            <v>233373.45</v>
          </cell>
          <cell r="AV373">
            <v>96894.57</v>
          </cell>
          <cell r="AW373">
            <v>99695.25</v>
          </cell>
          <cell r="AX373">
            <v>202571.27</v>
          </cell>
          <cell r="AY373">
            <v>179501.92</v>
          </cell>
          <cell r="AZ373">
            <v>141969.41</v>
          </cell>
          <cell r="BA373">
            <v>235898.01</v>
          </cell>
          <cell r="BB373">
            <v>105671.8</v>
          </cell>
          <cell r="BC373">
            <v>288339.78000000003</v>
          </cell>
          <cell r="BD373">
            <v>255843.26</v>
          </cell>
          <cell r="BE373">
            <v>446104.69</v>
          </cell>
          <cell r="BF373">
            <v>302954.33</v>
          </cell>
          <cell r="BG373">
            <v>280316.5</v>
          </cell>
          <cell r="BH373">
            <v>128713.05</v>
          </cell>
          <cell r="BI373">
            <v>164853</v>
          </cell>
          <cell r="BJ373">
            <v>161750.96</v>
          </cell>
          <cell r="BK373">
            <v>134155.95000000001</v>
          </cell>
          <cell r="BL373">
            <v>170859.85</v>
          </cell>
          <cell r="BM373">
            <v>112831.4</v>
          </cell>
          <cell r="BN373">
            <v>198564.37</v>
          </cell>
          <cell r="BO373">
            <v>339498.64</v>
          </cell>
          <cell r="BP373">
            <v>146929.4</v>
          </cell>
          <cell r="BQ373">
            <v>208884.7</v>
          </cell>
          <cell r="BR373">
            <v>203759.25</v>
          </cell>
          <cell r="BS373">
            <v>212403.61</v>
          </cell>
          <cell r="BT373">
            <v>941953.05</v>
          </cell>
          <cell r="BU373">
            <v>945636.59</v>
          </cell>
          <cell r="BV373">
            <v>120945.95</v>
          </cell>
          <cell r="BW373">
            <v>-297708.95</v>
          </cell>
          <cell r="BX373">
            <v>201287.05</v>
          </cell>
          <cell r="BY373">
            <v>57215.9</v>
          </cell>
          <cell r="BZ373">
            <v>14906.11</v>
          </cell>
          <cell r="CA373">
            <v>1144687.67</v>
          </cell>
          <cell r="CB373">
            <v>-76741.63</v>
          </cell>
          <cell r="CC373">
            <v>224.54</v>
          </cell>
          <cell r="CD373">
            <v>-92526.44</v>
          </cell>
          <cell r="CE373">
            <v>-157657.60000000001</v>
          </cell>
          <cell r="CF373">
            <v>-248155.06</v>
          </cell>
          <cell r="CG373">
            <v>-101499.08</v>
          </cell>
          <cell r="CH373">
            <v>-136812.59</v>
          </cell>
          <cell r="CI373">
            <v>85705.02</v>
          </cell>
          <cell r="CJ373">
            <v>96238.33</v>
          </cell>
          <cell r="CK373">
            <v>-88674.33</v>
          </cell>
          <cell r="CL373">
            <v>-21223.34</v>
          </cell>
          <cell r="CM373">
            <v>-168809.62</v>
          </cell>
          <cell r="CN373">
            <v>-27799.51</v>
          </cell>
          <cell r="CO373">
            <v>49378.29</v>
          </cell>
          <cell r="CP373">
            <v>-5200.67</v>
          </cell>
          <cell r="CQ373">
            <v>-140116.07999999999</v>
          </cell>
          <cell r="CR373">
            <v>-127423.06</v>
          </cell>
          <cell r="CS373">
            <v>-105706.1</v>
          </cell>
          <cell r="CT373">
            <v>23682.16</v>
          </cell>
          <cell r="CU373">
            <v>-49093.37</v>
          </cell>
          <cell r="CV373">
            <v>104586.4</v>
          </cell>
          <cell r="CW373">
            <v>183919.19</v>
          </cell>
          <cell r="CX373">
            <v>-90056.9</v>
          </cell>
          <cell r="CY373">
            <v>-99707.4</v>
          </cell>
          <cell r="CZ373">
            <v>133966.79999999999</v>
          </cell>
          <cell r="DA373">
            <v>-46928.94</v>
          </cell>
          <cell r="DB373">
            <v>-131761.32</v>
          </cell>
          <cell r="DC373">
            <v>-104832.31</v>
          </cell>
          <cell r="DD373">
            <v>-214408.56</v>
          </cell>
          <cell r="DE373">
            <v>177057.94</v>
          </cell>
          <cell r="DF373">
            <v>180107.58</v>
          </cell>
          <cell r="DG373">
            <v>417918.71999999997</v>
          </cell>
          <cell r="DH373">
            <v>509861.19999999995</v>
          </cell>
        </row>
        <row r="374">
          <cell r="A374" t="str">
            <v>7201000</v>
          </cell>
          <cell r="B374" t="str">
            <v>7201000</v>
          </cell>
          <cell r="C374" t="str">
            <v>Loss Sale Util Prop</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5165.29</v>
          </cell>
          <cell r="CA374">
            <v>5165.29</v>
          </cell>
          <cell r="CB374">
            <v>5165.29</v>
          </cell>
          <cell r="CC374">
            <v>5165.29</v>
          </cell>
          <cell r="CD374">
            <v>5165.29</v>
          </cell>
          <cell r="CE374">
            <v>5165.29</v>
          </cell>
          <cell r="CF374">
            <v>5165.29</v>
          </cell>
          <cell r="CG374">
            <v>5165.29</v>
          </cell>
          <cell r="CH374">
            <v>5165.29</v>
          </cell>
          <cell r="CI374">
            <v>5165.29</v>
          </cell>
          <cell r="CJ374">
            <v>5165.29</v>
          </cell>
          <cell r="CK374">
            <v>5165.29</v>
          </cell>
          <cell r="CL374">
            <v>5165.29</v>
          </cell>
          <cell r="CM374">
            <v>5165.29</v>
          </cell>
          <cell r="CN374">
            <v>5165.29</v>
          </cell>
          <cell r="CO374">
            <v>5165.29</v>
          </cell>
          <cell r="CP374">
            <v>5165.29</v>
          </cell>
          <cell r="CQ374">
            <v>5165.29</v>
          </cell>
          <cell r="CR374">
            <v>5165.29</v>
          </cell>
          <cell r="CS374">
            <v>5165.29</v>
          </cell>
          <cell r="CT374">
            <v>5165.29</v>
          </cell>
          <cell r="CU374">
            <v>5165.29</v>
          </cell>
          <cell r="CV374">
            <v>5165.29</v>
          </cell>
          <cell r="CW374">
            <v>5165.29</v>
          </cell>
          <cell r="CX374">
            <v>5165.29</v>
          </cell>
          <cell r="CY374">
            <v>5165.29</v>
          </cell>
          <cell r="CZ374">
            <v>5165.29</v>
          </cell>
          <cell r="DA374">
            <v>5165.29</v>
          </cell>
          <cell r="DB374">
            <v>5165.29</v>
          </cell>
          <cell r="DC374">
            <v>5165.29</v>
          </cell>
          <cell r="DD374">
            <v>5165.29</v>
          </cell>
          <cell r="DE374">
            <v>5165.29</v>
          </cell>
          <cell r="DF374">
            <v>5165.29</v>
          </cell>
          <cell r="DG374">
            <v>5165.29</v>
          </cell>
          <cell r="DH374">
            <v>61983.48</v>
          </cell>
        </row>
        <row r="375">
          <cell r="A375" t="str">
            <v>7202100</v>
          </cell>
          <cell r="B375" t="str">
            <v>7202100</v>
          </cell>
          <cell r="C375" t="str">
            <v>CurrAdj Unreal Loss</v>
          </cell>
          <cell r="AZ375">
            <v>322.72000000000003</v>
          </cell>
          <cell r="BA375">
            <v>-247.08</v>
          </cell>
          <cell r="BB375">
            <v>-60.48</v>
          </cell>
          <cell r="BC375">
            <v>-15.16</v>
          </cell>
          <cell r="BD375">
            <v>0</v>
          </cell>
          <cell r="BE375">
            <v>0</v>
          </cell>
          <cell r="BF375">
            <v>437.79</v>
          </cell>
          <cell r="BG375">
            <v>417.77</v>
          </cell>
          <cell r="BH375">
            <v>-131.16999999999999</v>
          </cell>
          <cell r="BI375">
            <v>2330.69</v>
          </cell>
          <cell r="BJ375">
            <v>1855.65</v>
          </cell>
          <cell r="BK375">
            <v>3833.85</v>
          </cell>
          <cell r="BL375">
            <v>2272.7199999999998</v>
          </cell>
          <cell r="BM375">
            <v>421.34</v>
          </cell>
          <cell r="BN375">
            <v>3661.16</v>
          </cell>
          <cell r="BO375">
            <v>-1500.92</v>
          </cell>
          <cell r="BP375">
            <v>1944.39</v>
          </cell>
          <cell r="BQ375">
            <v>-14438.81</v>
          </cell>
          <cell r="BR375">
            <v>674.95</v>
          </cell>
          <cell r="BS375">
            <v>-1987.58</v>
          </cell>
          <cell r="BT375">
            <v>-86.69</v>
          </cell>
          <cell r="BU375">
            <v>138.49</v>
          </cell>
          <cell r="BV375">
            <v>-138.49</v>
          </cell>
          <cell r="BW375">
            <v>1433.05</v>
          </cell>
          <cell r="BX375">
            <v>1716.41</v>
          </cell>
          <cell r="BY375">
            <v>1328.04</v>
          </cell>
          <cell r="BZ375">
            <v>-4447.1899999999996</v>
          </cell>
          <cell r="CA375">
            <v>204.78</v>
          </cell>
          <cell r="CB375">
            <v>2099.34</v>
          </cell>
          <cell r="CC375">
            <v>-2334.4299999999998</v>
          </cell>
          <cell r="CD375">
            <v>377.35</v>
          </cell>
          <cell r="CE375">
            <v>792.51</v>
          </cell>
          <cell r="CF375">
            <v>-1161.9100000000001</v>
          </cell>
          <cell r="CG375">
            <v>0</v>
          </cell>
          <cell r="CH375">
            <v>948.44</v>
          </cell>
          <cell r="CI375">
            <v>519.5</v>
          </cell>
          <cell r="CJ375">
            <v>-1467.94</v>
          </cell>
          <cell r="CK375">
            <v>139.77000000000001</v>
          </cell>
          <cell r="CL375">
            <v>-139.77000000000001</v>
          </cell>
          <cell r="CM375">
            <v>2894.78</v>
          </cell>
          <cell r="CN375">
            <v>-2004.23</v>
          </cell>
          <cell r="CO375">
            <v>-890.55</v>
          </cell>
          <cell r="CP375">
            <v>561.66999999999996</v>
          </cell>
          <cell r="CQ375">
            <v>-561.66999999999996</v>
          </cell>
          <cell r="CR375">
            <v>0</v>
          </cell>
          <cell r="CS375">
            <v>464.63</v>
          </cell>
          <cell r="CT375">
            <v>-464.63</v>
          </cell>
          <cell r="CU375">
            <v>2039.9</v>
          </cell>
          <cell r="CV375">
            <v>-2039.9</v>
          </cell>
          <cell r="CW375">
            <v>165.54</v>
          </cell>
          <cell r="CX375">
            <v>3093.02</v>
          </cell>
          <cell r="CY375">
            <v>-3258.56</v>
          </cell>
          <cell r="CZ375">
            <v>2389.62</v>
          </cell>
          <cell r="DA375">
            <v>-2389.62</v>
          </cell>
          <cell r="DB375">
            <v>1619.85</v>
          </cell>
          <cell r="DC375">
            <v>-1619.85</v>
          </cell>
          <cell r="DD375">
            <v>0</v>
          </cell>
          <cell r="DE375">
            <v>636.33000000000004</v>
          </cell>
          <cell r="DF375">
            <v>-636.33000000000004</v>
          </cell>
          <cell r="DG375">
            <v>941.38</v>
          </cell>
          <cell r="DH375">
            <v>-1098.52</v>
          </cell>
        </row>
        <row r="376">
          <cell r="A376" t="str">
            <v>7202000</v>
          </cell>
          <cell r="B376" t="str">
            <v>7202000</v>
          </cell>
          <cell r="C376" t="str">
            <v>CurrAdj Real Loss</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21.58</v>
          </cell>
          <cell r="AY376">
            <v>0</v>
          </cell>
          <cell r="AZ376">
            <v>0</v>
          </cell>
          <cell r="BA376">
            <v>0</v>
          </cell>
          <cell r="BB376">
            <v>0</v>
          </cell>
          <cell r="BC376">
            <v>183.42</v>
          </cell>
          <cell r="BD376">
            <v>39.76</v>
          </cell>
          <cell r="BE376">
            <v>0</v>
          </cell>
          <cell r="BF376">
            <v>243.13</v>
          </cell>
          <cell r="BG376">
            <v>176.27</v>
          </cell>
          <cell r="BH376">
            <v>1822.35</v>
          </cell>
          <cell r="BI376">
            <v>97.1</v>
          </cell>
          <cell r="BJ376">
            <v>22.08</v>
          </cell>
          <cell r="BK376">
            <v>0</v>
          </cell>
          <cell r="BL376">
            <v>300.82</v>
          </cell>
          <cell r="BM376">
            <v>774.74</v>
          </cell>
          <cell r="BN376">
            <v>575.51</v>
          </cell>
          <cell r="BO376">
            <v>496.56</v>
          </cell>
          <cell r="BP376">
            <v>796.26</v>
          </cell>
          <cell r="BQ376">
            <v>7469.41</v>
          </cell>
          <cell r="BR376">
            <v>0</v>
          </cell>
          <cell r="BS376">
            <v>0</v>
          </cell>
          <cell r="BT376">
            <v>1544.34</v>
          </cell>
          <cell r="BU376">
            <v>3861.69</v>
          </cell>
          <cell r="BV376">
            <v>883.12</v>
          </cell>
          <cell r="BW376">
            <v>1900.04</v>
          </cell>
          <cell r="BX376">
            <v>0</v>
          </cell>
          <cell r="BY376">
            <v>0</v>
          </cell>
          <cell r="BZ376">
            <v>0</v>
          </cell>
          <cell r="CA376">
            <v>0</v>
          </cell>
          <cell r="CB376">
            <v>2111.63</v>
          </cell>
          <cell r="CC376">
            <v>7747.55</v>
          </cell>
          <cell r="CD376">
            <v>3047.85</v>
          </cell>
          <cell r="CE376">
            <v>174.3</v>
          </cell>
          <cell r="CF376">
            <v>1087.82</v>
          </cell>
          <cell r="CG376">
            <v>3263.67</v>
          </cell>
          <cell r="CH376">
            <v>3223.46</v>
          </cell>
          <cell r="CI376">
            <v>4428.6000000000004</v>
          </cell>
          <cell r="CJ376">
            <v>5719.85</v>
          </cell>
          <cell r="CK376">
            <v>7798.65</v>
          </cell>
          <cell r="CL376">
            <v>3694.92</v>
          </cell>
          <cell r="CM376">
            <v>7769.99</v>
          </cell>
          <cell r="CN376">
            <v>8949.24</v>
          </cell>
          <cell r="CO376">
            <v>3663.96</v>
          </cell>
          <cell r="CP376">
            <v>0</v>
          </cell>
          <cell r="CQ376">
            <v>1429.11</v>
          </cell>
          <cell r="CR376">
            <v>1757.39</v>
          </cell>
          <cell r="CS376">
            <v>10398.459999999999</v>
          </cell>
          <cell r="CT376">
            <v>0</v>
          </cell>
          <cell r="CU376">
            <v>0</v>
          </cell>
          <cell r="CV376">
            <v>5492.82</v>
          </cell>
          <cell r="CW376">
            <v>310.52</v>
          </cell>
          <cell r="CX376">
            <v>4013.74</v>
          </cell>
          <cell r="CY376">
            <v>522.46</v>
          </cell>
          <cell r="CZ376">
            <v>3311.64</v>
          </cell>
          <cell r="DA376">
            <v>3993.23</v>
          </cell>
          <cell r="DB376">
            <v>2661.62</v>
          </cell>
          <cell r="DC376">
            <v>1855.67</v>
          </cell>
          <cell r="DD376">
            <v>0</v>
          </cell>
          <cell r="DE376">
            <v>0</v>
          </cell>
          <cell r="DF376">
            <v>3686.94</v>
          </cell>
          <cell r="DG376">
            <v>172.05</v>
          </cell>
          <cell r="DH376">
            <v>26020.689999999995</v>
          </cell>
        </row>
        <row r="377">
          <cell r="A377" t="str">
            <v>7203020</v>
          </cell>
          <cell r="B377" t="str">
            <v>7203020</v>
          </cell>
          <cell r="C377" t="str">
            <v>Jobbing Expense</v>
          </cell>
          <cell r="D377">
            <v>1940</v>
          </cell>
          <cell r="E377">
            <v>-17953</v>
          </cell>
          <cell r="F377">
            <v>10400</v>
          </cell>
          <cell r="G377">
            <v>6500</v>
          </cell>
          <cell r="H377">
            <v>6600</v>
          </cell>
          <cell r="I377">
            <v>7410.6</v>
          </cell>
          <cell r="J377">
            <v>8020</v>
          </cell>
          <cell r="K377">
            <v>200</v>
          </cell>
          <cell r="L377">
            <v>0</v>
          </cell>
          <cell r="M377">
            <v>0</v>
          </cell>
          <cell r="N377">
            <v>0</v>
          </cell>
          <cell r="O377">
            <v>123735</v>
          </cell>
          <cell r="P377">
            <v>0</v>
          </cell>
          <cell r="Q377">
            <v>0</v>
          </cell>
          <cell r="R377">
            <v>0</v>
          </cell>
          <cell r="S377">
            <v>0</v>
          </cell>
          <cell r="T377">
            <v>0</v>
          </cell>
          <cell r="U377">
            <v>3800</v>
          </cell>
          <cell r="V377">
            <v>0</v>
          </cell>
          <cell r="W377">
            <v>0</v>
          </cell>
          <cell r="X377">
            <v>0</v>
          </cell>
          <cell r="Y377">
            <v>-3805</v>
          </cell>
          <cell r="Z377">
            <v>4500</v>
          </cell>
          <cell r="AA377">
            <v>106139</v>
          </cell>
          <cell r="AB377">
            <v>0</v>
          </cell>
          <cell r="AC377">
            <v>0</v>
          </cell>
          <cell r="AD377">
            <v>0</v>
          </cell>
          <cell r="AE377">
            <v>-1678.52</v>
          </cell>
          <cell r="AF377">
            <v>0</v>
          </cell>
          <cell r="AG377">
            <v>0</v>
          </cell>
          <cell r="AH377">
            <v>0</v>
          </cell>
          <cell r="AI377">
            <v>0</v>
          </cell>
          <cell r="AJ377">
            <v>0</v>
          </cell>
          <cell r="AK377">
            <v>0</v>
          </cell>
          <cell r="AL377">
            <v>0</v>
          </cell>
          <cell r="AM377">
            <v>13620</v>
          </cell>
          <cell r="AN377">
            <v>0</v>
          </cell>
          <cell r="AO377">
            <v>0</v>
          </cell>
          <cell r="AP377">
            <v>0</v>
          </cell>
          <cell r="AQ377">
            <v>0</v>
          </cell>
          <cell r="AR377">
            <v>0</v>
          </cell>
          <cell r="AS377">
            <v>0</v>
          </cell>
          <cell r="AT377">
            <v>0</v>
          </cell>
          <cell r="AU377">
            <v>0</v>
          </cell>
          <cell r="AV377">
            <v>0</v>
          </cell>
          <cell r="AW377">
            <v>0</v>
          </cell>
          <cell r="AX377">
            <v>0</v>
          </cell>
          <cell r="AY377">
            <v>-37947</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row>
        <row r="378">
          <cell r="A378" t="str">
            <v>7301000</v>
          </cell>
          <cell r="B378" t="str">
            <v>7301000</v>
          </cell>
          <cell r="C378" t="str">
            <v>Eq Ern Consol Affil</v>
          </cell>
          <cell r="D378">
            <v>-214296.28</v>
          </cell>
          <cell r="E378">
            <v>-330590.94</v>
          </cell>
          <cell r="F378">
            <v>-206491.26</v>
          </cell>
          <cell r="G378">
            <v>-280856.64</v>
          </cell>
          <cell r="H378">
            <v>-178527.23</v>
          </cell>
          <cell r="I378">
            <v>-262447.71999999997</v>
          </cell>
          <cell r="J378">
            <v>-240575.55</v>
          </cell>
          <cell r="K378">
            <v>-197832.04</v>
          </cell>
          <cell r="L378">
            <v>-68753.320000000007</v>
          </cell>
          <cell r="M378">
            <v>-294246.26</v>
          </cell>
          <cell r="N378">
            <v>-168347.11</v>
          </cell>
          <cell r="O378">
            <v>-192880.57</v>
          </cell>
          <cell r="P378">
            <v>-390775.07</v>
          </cell>
          <cell r="Q378">
            <v>-210884.69</v>
          </cell>
          <cell r="R378">
            <v>-150763.29</v>
          </cell>
          <cell r="S378">
            <v>-117072.92</v>
          </cell>
          <cell r="T378">
            <v>-224359.7</v>
          </cell>
          <cell r="U378">
            <v>-216294.17</v>
          </cell>
          <cell r="V378">
            <v>-152920.16</v>
          </cell>
          <cell r="W378">
            <v>-171043.58</v>
          </cell>
          <cell r="X378">
            <v>-223338.23999999999</v>
          </cell>
          <cell r="Y378">
            <v>-130233.48</v>
          </cell>
          <cell r="Z378">
            <v>-190346.84</v>
          </cell>
          <cell r="AA378">
            <v>-703834.01</v>
          </cell>
          <cell r="AB378">
            <v>-296280.46000000002</v>
          </cell>
          <cell r="AC378">
            <v>-362928.71</v>
          </cell>
          <cell r="AD378">
            <v>-102655.97</v>
          </cell>
          <cell r="AE378">
            <v>-122065.81</v>
          </cell>
          <cell r="AF378">
            <v>-290536.36</v>
          </cell>
          <cell r="AG378">
            <v>-148831.98000000001</v>
          </cell>
          <cell r="AH378">
            <v>-214871.25</v>
          </cell>
          <cell r="AI378">
            <v>-277765.40000000002</v>
          </cell>
          <cell r="AJ378">
            <v>-180270.99</v>
          </cell>
          <cell r="AK378">
            <v>-769396.37</v>
          </cell>
          <cell r="AL378">
            <v>-202984.49</v>
          </cell>
          <cell r="AM378">
            <v>-221317.04</v>
          </cell>
          <cell r="AN378">
            <v>-353932.4</v>
          </cell>
          <cell r="AO378">
            <v>-308136.26</v>
          </cell>
          <cell r="AP378">
            <v>-287169.15000000002</v>
          </cell>
          <cell r="AQ378">
            <v>-146968.54999999999</v>
          </cell>
          <cell r="AR378">
            <v>-331963.59000000003</v>
          </cell>
          <cell r="AS378">
            <v>153361.17000000001</v>
          </cell>
          <cell r="AT378">
            <v>-293256.39</v>
          </cell>
          <cell r="AU378">
            <v>-142790.04999999999</v>
          </cell>
          <cell r="AV378">
            <v>-297970.53000000003</v>
          </cell>
          <cell r="AW378">
            <v>-245610.76</v>
          </cell>
          <cell r="AX378">
            <v>-341556.85</v>
          </cell>
          <cell r="AY378">
            <v>-549068.92000000004</v>
          </cell>
          <cell r="AZ378">
            <v>-427265.75</v>
          </cell>
          <cell r="BA378">
            <v>-414555.12</v>
          </cell>
          <cell r="BB378">
            <v>-112602.5</v>
          </cell>
          <cell r="BC378">
            <v>-506278.72</v>
          </cell>
          <cell r="BD378">
            <v>-262049.55</v>
          </cell>
          <cell r="BE378">
            <v>-222660.19</v>
          </cell>
          <cell r="BF378">
            <v>-289543.83</v>
          </cell>
          <cell r="BG378">
            <v>-189620.79</v>
          </cell>
          <cell r="BH378">
            <v>-174472.46</v>
          </cell>
          <cell r="BI378">
            <v>-253677.03</v>
          </cell>
          <cell r="BJ378">
            <v>-242731.81</v>
          </cell>
          <cell r="BK378">
            <v>-417337.17</v>
          </cell>
          <cell r="BL378">
            <v>-256648.59</v>
          </cell>
          <cell r="BM378">
            <v>-285523.38</v>
          </cell>
          <cell r="BN378">
            <v>-461128.74</v>
          </cell>
          <cell r="BO378">
            <v>-417107.02</v>
          </cell>
          <cell r="BP378">
            <v>-323818.81</v>
          </cell>
          <cell r="BQ378">
            <v>-234534.32</v>
          </cell>
          <cell r="BR378">
            <v>-338930.12</v>
          </cell>
          <cell r="BS378">
            <v>-459463.36</v>
          </cell>
          <cell r="BT378">
            <v>-219164.33</v>
          </cell>
          <cell r="BU378">
            <v>-197590.86</v>
          </cell>
          <cell r="BV378">
            <v>-194188.46</v>
          </cell>
          <cell r="BW378">
            <v>-228792.44</v>
          </cell>
          <cell r="BX378">
            <v>-126272.64</v>
          </cell>
          <cell r="BY378">
            <v>-424898.82</v>
          </cell>
          <cell r="BZ378">
            <v>-93899.42</v>
          </cell>
          <cell r="CA378">
            <v>-334447.24</v>
          </cell>
          <cell r="CB378">
            <v>-410336.04</v>
          </cell>
          <cell r="CC378">
            <v>-224341.44</v>
          </cell>
          <cell r="CD378">
            <v>-188439.92</v>
          </cell>
          <cell r="CE378">
            <v>-311341.21000000002</v>
          </cell>
          <cell r="CF378">
            <v>-239230.3</v>
          </cell>
          <cell r="CG378">
            <v>-350793.42</v>
          </cell>
          <cell r="CH378">
            <v>-209032.59</v>
          </cell>
          <cell r="CI378">
            <v>-367048.31</v>
          </cell>
          <cell r="CJ378">
            <v>-334134.96999999997</v>
          </cell>
          <cell r="CK378">
            <v>-387862.25</v>
          </cell>
          <cell r="CL378">
            <v>-275361.32</v>
          </cell>
          <cell r="CM378">
            <v>-331471.51</v>
          </cell>
          <cell r="CN378">
            <v>-390513.08</v>
          </cell>
          <cell r="CO378">
            <v>-271490.58</v>
          </cell>
          <cell r="CP378">
            <v>-274120.75</v>
          </cell>
          <cell r="CQ378">
            <v>-337068.29</v>
          </cell>
          <cell r="CR378">
            <v>-295827.65000000002</v>
          </cell>
          <cell r="CS378">
            <v>-313747.78000000003</v>
          </cell>
          <cell r="CT378">
            <v>-273112.37</v>
          </cell>
          <cell r="CU378">
            <v>-159444.92000000001</v>
          </cell>
          <cell r="CV378">
            <v>-144996.4</v>
          </cell>
          <cell r="CW378">
            <v>-253318.71</v>
          </cell>
          <cell r="CX378">
            <v>-473623.69</v>
          </cell>
          <cell r="CY378">
            <v>-257376.17</v>
          </cell>
          <cell r="CZ378">
            <v>-276005.40999999997</v>
          </cell>
          <cell r="DA378">
            <v>-222974.37</v>
          </cell>
          <cell r="DB378">
            <v>-436612.73</v>
          </cell>
          <cell r="DC378">
            <v>-287987.53999999998</v>
          </cell>
          <cell r="DD378">
            <v>-337555.77</v>
          </cell>
          <cell r="DE378">
            <v>-251499.69</v>
          </cell>
          <cell r="DF378">
            <v>-300104.23</v>
          </cell>
          <cell r="DG378">
            <v>-13128.95</v>
          </cell>
          <cell r="DH378">
            <v>-3255183.66</v>
          </cell>
        </row>
        <row r="379">
          <cell r="A379" t="str">
            <v>7500010</v>
          </cell>
          <cell r="B379" t="str">
            <v>7500010</v>
          </cell>
          <cell r="C379" t="str">
            <v>Allow Brw AFUDC Dbt</v>
          </cell>
          <cell r="BL379">
            <v>0</v>
          </cell>
          <cell r="BM379">
            <v>0</v>
          </cell>
          <cell r="BN379">
            <v>0</v>
          </cell>
          <cell r="BO379">
            <v>0</v>
          </cell>
          <cell r="BP379">
            <v>0</v>
          </cell>
          <cell r="BQ379">
            <v>0</v>
          </cell>
          <cell r="BR379">
            <v>0</v>
          </cell>
          <cell r="BS379">
            <v>-43419.48</v>
          </cell>
          <cell r="BT379">
            <v>-28294.53</v>
          </cell>
          <cell r="BU379">
            <v>-22465.39</v>
          </cell>
          <cell r="BV379">
            <v>-25132.7</v>
          </cell>
          <cell r="BW379">
            <v>-31693.47</v>
          </cell>
          <cell r="BX379">
            <v>-41123.9</v>
          </cell>
          <cell r="BY379">
            <v>-51382.78</v>
          </cell>
          <cell r="BZ379">
            <v>-60040.59</v>
          </cell>
          <cell r="CA379">
            <v>-68313.5</v>
          </cell>
          <cell r="CB379">
            <v>-82831.14</v>
          </cell>
          <cell r="CC379">
            <v>-94708.89</v>
          </cell>
          <cell r="CD379">
            <v>-101897.5</v>
          </cell>
          <cell r="CE379">
            <v>-113702.74</v>
          </cell>
          <cell r="CF379">
            <v>-127173</v>
          </cell>
          <cell r="CG379">
            <v>-100603.36</v>
          </cell>
          <cell r="CH379">
            <v>-74277.42</v>
          </cell>
          <cell r="CI379">
            <v>-85997.18</v>
          </cell>
          <cell r="CJ379">
            <v>-97828.96</v>
          </cell>
          <cell r="CK379">
            <v>-118962.67</v>
          </cell>
          <cell r="CL379">
            <v>-125175.22</v>
          </cell>
          <cell r="CM379">
            <v>-101772.96</v>
          </cell>
          <cell r="CN379">
            <v>-70765.289999999994</v>
          </cell>
          <cell r="CO379">
            <v>-73446.960000000006</v>
          </cell>
          <cell r="CP379">
            <v>-79548.13</v>
          </cell>
          <cell r="CQ379">
            <v>-89530.79</v>
          </cell>
          <cell r="CR379">
            <v>-98143.71</v>
          </cell>
          <cell r="CS379">
            <v>-105329.65</v>
          </cell>
          <cell r="CT379">
            <v>-37935.15</v>
          </cell>
          <cell r="CU379">
            <v>-52206.77</v>
          </cell>
          <cell r="CV379">
            <v>-57599.07</v>
          </cell>
          <cell r="CW379">
            <v>-62866.879999999997</v>
          </cell>
          <cell r="CX379">
            <v>-68331.64</v>
          </cell>
          <cell r="CY379">
            <v>-75234.820000000007</v>
          </cell>
          <cell r="CZ379">
            <v>-83191.78</v>
          </cell>
          <cell r="DA379">
            <v>-92933.84</v>
          </cell>
          <cell r="DB379">
            <v>-103760.02</v>
          </cell>
          <cell r="DC379">
            <v>-111463.17</v>
          </cell>
          <cell r="DD379">
            <v>-118085.17</v>
          </cell>
          <cell r="DE379">
            <v>-53459.64</v>
          </cell>
          <cell r="DF379">
            <v>-78253.39</v>
          </cell>
          <cell r="DG379">
            <v>-84749.19</v>
          </cell>
          <cell r="DH379">
            <v>-989928.6100000001</v>
          </cell>
        </row>
        <row r="380">
          <cell r="A380" t="str">
            <v>7500015</v>
          </cell>
          <cell r="B380" t="str">
            <v>7500015</v>
          </cell>
          <cell r="C380" t="str">
            <v>Captlz AFUDC Debt</v>
          </cell>
          <cell r="BU380">
            <v>0</v>
          </cell>
          <cell r="BV380">
            <v>0</v>
          </cell>
          <cell r="BW380">
            <v>151005.57</v>
          </cell>
          <cell r="BX380">
            <v>41123.9</v>
          </cell>
          <cell r="BY380">
            <v>51382.78</v>
          </cell>
          <cell r="BZ380">
            <v>60040.59</v>
          </cell>
          <cell r="CA380">
            <v>68313.5</v>
          </cell>
          <cell r="CB380">
            <v>82831.14</v>
          </cell>
          <cell r="CC380">
            <v>94708.89</v>
          </cell>
          <cell r="CD380">
            <v>101897.5</v>
          </cell>
          <cell r="CE380">
            <v>113702.74</v>
          </cell>
          <cell r="CF380">
            <v>127173</v>
          </cell>
          <cell r="CG380">
            <v>100603.36</v>
          </cell>
          <cell r="CH380">
            <v>74277.42</v>
          </cell>
          <cell r="CI380">
            <v>85997.18</v>
          </cell>
          <cell r="CJ380">
            <v>97828.96</v>
          </cell>
          <cell r="CK380">
            <v>118962.67</v>
          </cell>
          <cell r="CL380">
            <v>125175.22</v>
          </cell>
          <cell r="CM380">
            <v>101772.96</v>
          </cell>
          <cell r="CN380">
            <v>70765.289999999994</v>
          </cell>
          <cell r="CO380">
            <v>73446.960000000006</v>
          </cell>
          <cell r="CP380">
            <v>79548.13</v>
          </cell>
          <cell r="CQ380">
            <v>89530.79</v>
          </cell>
          <cell r="CR380">
            <v>98143.71</v>
          </cell>
          <cell r="CS380">
            <v>105329.65</v>
          </cell>
          <cell r="CT380">
            <v>37935.15</v>
          </cell>
          <cell r="CU380">
            <v>52206.77</v>
          </cell>
          <cell r="CV380">
            <v>57599.07</v>
          </cell>
          <cell r="CW380">
            <v>62866.879999999997</v>
          </cell>
          <cell r="CX380">
            <v>68331.64</v>
          </cell>
          <cell r="CY380">
            <v>75234.820000000007</v>
          </cell>
          <cell r="CZ380">
            <v>83191.78</v>
          </cell>
          <cell r="DA380">
            <v>92933.84</v>
          </cell>
          <cell r="DB380">
            <v>103760.02</v>
          </cell>
          <cell r="DC380">
            <v>111463.17</v>
          </cell>
          <cell r="DD380">
            <v>118085.17</v>
          </cell>
          <cell r="DE380">
            <v>53459.64</v>
          </cell>
          <cell r="DF380">
            <v>78253.39</v>
          </cell>
          <cell r="DG380">
            <v>84749.19</v>
          </cell>
          <cell r="DH380">
            <v>989928.6100000001</v>
          </cell>
        </row>
        <row r="381">
          <cell r="A381" t="str">
            <v>7500020</v>
          </cell>
          <cell r="B381" t="str">
            <v>7500020</v>
          </cell>
          <cell r="C381" t="str">
            <v>AR Securitization</v>
          </cell>
          <cell r="D381">
            <v>8730.86</v>
          </cell>
          <cell r="E381">
            <v>4555.72</v>
          </cell>
          <cell r="F381">
            <v>1707.34</v>
          </cell>
          <cell r="G381">
            <v>84.78</v>
          </cell>
          <cell r="H381">
            <v>0</v>
          </cell>
          <cell r="I381">
            <v>0</v>
          </cell>
          <cell r="J381">
            <v>0</v>
          </cell>
          <cell r="K381">
            <v>0</v>
          </cell>
          <cell r="L381">
            <v>0</v>
          </cell>
          <cell r="M381">
            <v>0</v>
          </cell>
          <cell r="N381">
            <v>0</v>
          </cell>
          <cell r="O381">
            <v>1484.59</v>
          </cell>
          <cell r="P381">
            <v>5297.51</v>
          </cell>
          <cell r="Q381">
            <v>2912.52</v>
          </cell>
          <cell r="R381">
            <v>1569.14</v>
          </cell>
          <cell r="S381">
            <v>0</v>
          </cell>
          <cell r="T381">
            <v>0</v>
          </cell>
          <cell r="U381">
            <v>0</v>
          </cell>
          <cell r="V381">
            <v>0</v>
          </cell>
          <cell r="W381">
            <v>0</v>
          </cell>
          <cell r="X381">
            <v>0</v>
          </cell>
          <cell r="Y381">
            <v>0</v>
          </cell>
          <cell r="Z381">
            <v>0</v>
          </cell>
          <cell r="AA381">
            <v>0</v>
          </cell>
          <cell r="AB381">
            <v>0</v>
          </cell>
          <cell r="AC381">
            <v>58.73</v>
          </cell>
          <cell r="AD381">
            <v>10.98</v>
          </cell>
          <cell r="AE381">
            <v>0</v>
          </cell>
          <cell r="AF381">
            <v>0</v>
          </cell>
          <cell r="AG381">
            <v>615.94000000000005</v>
          </cell>
          <cell r="AH381">
            <v>919.76</v>
          </cell>
          <cell r="AI381">
            <v>1174.6099999999999</v>
          </cell>
          <cell r="AJ381">
            <v>2092.46</v>
          </cell>
          <cell r="AK381">
            <v>153.06</v>
          </cell>
          <cell r="AL381">
            <v>6259.33</v>
          </cell>
          <cell r="AM381">
            <v>22743.11</v>
          </cell>
          <cell r="AN381">
            <v>27951.37</v>
          </cell>
          <cell r="AO381">
            <v>16703.96</v>
          </cell>
          <cell r="AP381">
            <v>17194.43</v>
          </cell>
          <cell r="AQ381">
            <v>21539.71</v>
          </cell>
          <cell r="AR381">
            <v>14761.56</v>
          </cell>
          <cell r="AS381">
            <v>17612.86</v>
          </cell>
          <cell r="AT381">
            <v>21212.9</v>
          </cell>
          <cell r="AU381">
            <v>26543.24</v>
          </cell>
          <cell r="AV381">
            <v>23340.02</v>
          </cell>
          <cell r="AW381">
            <v>28357.279999999999</v>
          </cell>
          <cell r="AX381">
            <v>9669.6</v>
          </cell>
          <cell r="AY381">
            <v>0</v>
          </cell>
          <cell r="AZ381">
            <v>1302.08</v>
          </cell>
          <cell r="BA381">
            <v>2338.31</v>
          </cell>
          <cell r="BB381">
            <v>1517.92</v>
          </cell>
          <cell r="BC381">
            <v>1323.64</v>
          </cell>
          <cell r="BD381">
            <v>13990.11</v>
          </cell>
          <cell r="BE381">
            <v>14260.85</v>
          </cell>
          <cell r="BF381">
            <v>12072</v>
          </cell>
          <cell r="BG381">
            <v>6013.53</v>
          </cell>
          <cell r="BH381">
            <v>8272.64</v>
          </cell>
          <cell r="BI381">
            <v>2647.67</v>
          </cell>
          <cell r="BJ381">
            <v>40228.199999999997</v>
          </cell>
          <cell r="BK381">
            <v>83725.91</v>
          </cell>
          <cell r="BL381">
            <v>72850.350000000006</v>
          </cell>
          <cell r="BM381">
            <v>55834.26</v>
          </cell>
          <cell r="BN381">
            <v>46345.58</v>
          </cell>
          <cell r="BO381">
            <v>40380.199999999997</v>
          </cell>
          <cell r="BP381">
            <v>33115.96</v>
          </cell>
          <cell r="BQ381">
            <v>28771.46</v>
          </cell>
          <cell r="BR381">
            <v>32779.379999999997</v>
          </cell>
          <cell r="BS381">
            <v>89666.15</v>
          </cell>
          <cell r="BT381">
            <v>56198.26</v>
          </cell>
          <cell r="BU381">
            <v>18126.990000000002</v>
          </cell>
          <cell r="BV381">
            <v>83670.259999999995</v>
          </cell>
          <cell r="BW381">
            <v>35241.61</v>
          </cell>
          <cell r="BX381">
            <v>36112.730000000003</v>
          </cell>
          <cell r="BY381">
            <v>8081.86</v>
          </cell>
          <cell r="BZ381">
            <v>62323.75</v>
          </cell>
          <cell r="CA381">
            <v>30054.94</v>
          </cell>
          <cell r="CB381">
            <v>10575.66</v>
          </cell>
          <cell r="CC381">
            <v>1353.53</v>
          </cell>
          <cell r="CD381">
            <v>1353.53</v>
          </cell>
          <cell r="CE381">
            <v>3127.13</v>
          </cell>
          <cell r="CF381">
            <v>9745.27</v>
          </cell>
          <cell r="CG381">
            <v>7652.81</v>
          </cell>
          <cell r="CH381">
            <v>8249.43</v>
          </cell>
          <cell r="CI381">
            <v>18471.18</v>
          </cell>
          <cell r="CJ381">
            <v>22845.53</v>
          </cell>
          <cell r="CK381">
            <v>11141.68</v>
          </cell>
          <cell r="CL381">
            <v>10475.52</v>
          </cell>
          <cell r="CM381">
            <v>131.81</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row>
        <row r="382">
          <cell r="A382" t="str">
            <v>7500030</v>
          </cell>
          <cell r="B382" t="str">
            <v>7500030</v>
          </cell>
          <cell r="C382" t="str">
            <v>Int Exp Customer Dep</v>
          </cell>
          <cell r="D382">
            <v>81888.759999999995</v>
          </cell>
          <cell r="E382">
            <v>81946.080000000002</v>
          </cell>
          <cell r="F382">
            <v>82099.39</v>
          </cell>
          <cell r="G382">
            <v>82432.38</v>
          </cell>
          <cell r="H382">
            <v>82721.73</v>
          </cell>
          <cell r="I382">
            <v>82838.789999999994</v>
          </cell>
          <cell r="J382">
            <v>83059.78</v>
          </cell>
          <cell r="K382">
            <v>83473.91</v>
          </cell>
          <cell r="L382">
            <v>84096.54</v>
          </cell>
          <cell r="M382">
            <v>84586.99</v>
          </cell>
          <cell r="N382">
            <v>83849.83</v>
          </cell>
          <cell r="O382">
            <v>84583.05</v>
          </cell>
          <cell r="P382">
            <v>84931.32</v>
          </cell>
          <cell r="Q382">
            <v>84655.33</v>
          </cell>
          <cell r="R382">
            <v>84911.34</v>
          </cell>
          <cell r="S382">
            <v>84527.17</v>
          </cell>
          <cell r="T382">
            <v>85332.26</v>
          </cell>
          <cell r="U382">
            <v>85632.43</v>
          </cell>
          <cell r="V382">
            <v>85943.24</v>
          </cell>
          <cell r="W382">
            <v>86261.16</v>
          </cell>
          <cell r="X382">
            <v>86526.2</v>
          </cell>
          <cell r="Y382">
            <v>86730.98</v>
          </cell>
          <cell r="Z382">
            <v>87013.89</v>
          </cell>
          <cell r="AA382">
            <v>87193.38</v>
          </cell>
          <cell r="AB382">
            <v>87473.16</v>
          </cell>
          <cell r="AC382">
            <v>83962.2</v>
          </cell>
          <cell r="AD382">
            <v>81686.48</v>
          </cell>
          <cell r="AE382">
            <v>79084.69</v>
          </cell>
          <cell r="AF382">
            <v>77249.649999999994</v>
          </cell>
          <cell r="AG382">
            <v>75006.850000000006</v>
          </cell>
          <cell r="AH382">
            <v>72824.37</v>
          </cell>
          <cell r="AI382">
            <v>70476.73</v>
          </cell>
          <cell r="AJ382">
            <v>68089.320000000007</v>
          </cell>
          <cell r="AK382">
            <v>66051.56</v>
          </cell>
          <cell r="AL382">
            <v>62730.55</v>
          </cell>
          <cell r="AM382">
            <v>61008.99</v>
          </cell>
          <cell r="AN382">
            <v>58804</v>
          </cell>
          <cell r="AO382">
            <v>57673</v>
          </cell>
          <cell r="AP382">
            <v>57131</v>
          </cell>
          <cell r="AQ382">
            <v>57051</v>
          </cell>
          <cell r="AR382">
            <v>56744</v>
          </cell>
          <cell r="AS382">
            <v>56505</v>
          </cell>
          <cell r="AT382">
            <v>56115</v>
          </cell>
          <cell r="AU382">
            <v>56005</v>
          </cell>
          <cell r="AV382">
            <v>55816</v>
          </cell>
          <cell r="AW382">
            <v>55755.12</v>
          </cell>
          <cell r="AX382">
            <v>55425.88</v>
          </cell>
          <cell r="AY382">
            <v>68722.740000000005</v>
          </cell>
          <cell r="AZ382">
            <v>54753.9</v>
          </cell>
          <cell r="BA382">
            <v>54723.21</v>
          </cell>
          <cell r="BB382">
            <v>54724.01</v>
          </cell>
          <cell r="BC382">
            <v>54676.44</v>
          </cell>
          <cell r="BD382">
            <v>54806.87</v>
          </cell>
          <cell r="BE382">
            <v>54842.58</v>
          </cell>
          <cell r="BF382">
            <v>54865.06</v>
          </cell>
          <cell r="BG382">
            <v>55003.7</v>
          </cell>
          <cell r="BH382">
            <v>54939.74</v>
          </cell>
          <cell r="BI382">
            <v>55067.25</v>
          </cell>
          <cell r="BJ382">
            <v>55437.96</v>
          </cell>
          <cell r="BK382">
            <v>48365.77</v>
          </cell>
          <cell r="BL382">
            <v>55169.55</v>
          </cell>
          <cell r="BM382">
            <v>55205.35</v>
          </cell>
          <cell r="BN382">
            <v>55333.99</v>
          </cell>
          <cell r="BO382">
            <v>55165.16</v>
          </cell>
          <cell r="BP382">
            <v>55280.23</v>
          </cell>
          <cell r="BQ382">
            <v>55284.57</v>
          </cell>
          <cell r="BR382">
            <v>55092</v>
          </cell>
          <cell r="BS382">
            <v>54934.14</v>
          </cell>
          <cell r="BT382">
            <v>54913.05</v>
          </cell>
          <cell r="BU382">
            <v>55028.13</v>
          </cell>
          <cell r="BV382">
            <v>55015.55</v>
          </cell>
          <cell r="BW382">
            <v>42623.8</v>
          </cell>
          <cell r="BX382">
            <v>55003.35</v>
          </cell>
          <cell r="BY382">
            <v>55161.09</v>
          </cell>
          <cell r="BZ382">
            <v>55200.35</v>
          </cell>
          <cell r="CA382">
            <v>55190.61</v>
          </cell>
          <cell r="CB382">
            <v>55069.64</v>
          </cell>
          <cell r="CC382">
            <v>54910.879999999997</v>
          </cell>
          <cell r="CD382">
            <v>54900.4</v>
          </cell>
          <cell r="CE382">
            <v>54798.3</v>
          </cell>
          <cell r="CF382">
            <v>54843.46</v>
          </cell>
          <cell r="CG382">
            <v>54750.67</v>
          </cell>
          <cell r="CH382">
            <v>54601.17</v>
          </cell>
          <cell r="CI382">
            <v>43181.760000000002</v>
          </cell>
          <cell r="CJ382">
            <v>54454.27</v>
          </cell>
          <cell r="CK382">
            <v>54502.22</v>
          </cell>
          <cell r="CL382">
            <v>54701.38</v>
          </cell>
          <cell r="CM382">
            <v>54612.59</v>
          </cell>
          <cell r="CN382">
            <v>54794.78</v>
          </cell>
          <cell r="CO382">
            <v>55070.86</v>
          </cell>
          <cell r="CP382">
            <v>55445.67</v>
          </cell>
          <cell r="CQ382">
            <v>55611.72</v>
          </cell>
          <cell r="CR382">
            <v>55997.82</v>
          </cell>
          <cell r="CS382">
            <v>56225.65</v>
          </cell>
          <cell r="CT382">
            <v>56674.93</v>
          </cell>
          <cell r="CU382">
            <v>46807.44</v>
          </cell>
          <cell r="CV382">
            <v>57503.33</v>
          </cell>
          <cell r="CW382">
            <v>57771.41</v>
          </cell>
          <cell r="CX382">
            <v>58107.46</v>
          </cell>
          <cell r="CY382">
            <v>58306.14</v>
          </cell>
          <cell r="CZ382">
            <v>58701.51</v>
          </cell>
          <cell r="DA382">
            <v>59319.92</v>
          </cell>
          <cell r="DB382">
            <v>59722.239999999998</v>
          </cell>
          <cell r="DC382">
            <v>60098.95</v>
          </cell>
          <cell r="DD382">
            <v>60624.24</v>
          </cell>
          <cell r="DE382">
            <v>60904.25</v>
          </cell>
          <cell r="DF382">
            <v>61298.94</v>
          </cell>
          <cell r="DG382">
            <v>51968.53</v>
          </cell>
          <cell r="DH382">
            <v>704326.92000000016</v>
          </cell>
        </row>
        <row r="383">
          <cell r="A383" t="str">
            <v>7500080</v>
          </cell>
          <cell r="B383" t="str">
            <v>7500080</v>
          </cell>
          <cell r="C383" t="str">
            <v>Int Exp Cr Facility</v>
          </cell>
          <cell r="D383">
            <v>1197.6199999999999</v>
          </cell>
          <cell r="E383">
            <v>193.26</v>
          </cell>
          <cell r="F383">
            <v>6.99</v>
          </cell>
          <cell r="G383">
            <v>151.29</v>
          </cell>
          <cell r="H383">
            <v>0</v>
          </cell>
          <cell r="I383">
            <v>0</v>
          </cell>
          <cell r="J383">
            <v>0</v>
          </cell>
          <cell r="K383">
            <v>0</v>
          </cell>
          <cell r="L383">
            <v>0</v>
          </cell>
          <cell r="M383">
            <v>0</v>
          </cell>
          <cell r="N383">
            <v>0</v>
          </cell>
          <cell r="O383">
            <v>866.18</v>
          </cell>
          <cell r="P383">
            <v>1039.32</v>
          </cell>
          <cell r="Q383">
            <v>201.34</v>
          </cell>
          <cell r="R383">
            <v>1148.27</v>
          </cell>
          <cell r="S383">
            <v>0</v>
          </cell>
          <cell r="T383">
            <v>0</v>
          </cell>
          <cell r="U383">
            <v>0</v>
          </cell>
          <cell r="V383">
            <v>0</v>
          </cell>
          <cell r="W383">
            <v>0</v>
          </cell>
          <cell r="X383">
            <v>0</v>
          </cell>
          <cell r="Y383">
            <v>0</v>
          </cell>
          <cell r="Z383">
            <v>0</v>
          </cell>
          <cell r="AA383">
            <v>0</v>
          </cell>
          <cell r="AB383">
            <v>0</v>
          </cell>
          <cell r="AC383">
            <v>6.08</v>
          </cell>
          <cell r="AD383">
            <v>0</v>
          </cell>
          <cell r="AE383">
            <v>0</v>
          </cell>
          <cell r="AF383">
            <v>0</v>
          </cell>
          <cell r="AG383">
            <v>5.56</v>
          </cell>
          <cell r="AH383">
            <v>4.55</v>
          </cell>
          <cell r="AI383">
            <v>12.22</v>
          </cell>
          <cell r="AJ383">
            <v>37.74</v>
          </cell>
          <cell r="AK383">
            <v>0</v>
          </cell>
          <cell r="AL383">
            <v>292.10000000000002</v>
          </cell>
          <cell r="AM383">
            <v>4873</v>
          </cell>
          <cell r="AN383">
            <v>16954.3</v>
          </cell>
          <cell r="AO383">
            <v>32826.68</v>
          </cell>
          <cell r="AP383">
            <v>36453.06</v>
          </cell>
          <cell r="AQ383">
            <v>36234.11</v>
          </cell>
          <cell r="AR383">
            <v>20114.93</v>
          </cell>
          <cell r="AS383">
            <v>28984.09</v>
          </cell>
          <cell r="AT383">
            <v>38111.74</v>
          </cell>
          <cell r="AU383">
            <v>38051.24</v>
          </cell>
          <cell r="AV383">
            <v>109398.05</v>
          </cell>
          <cell r="AW383">
            <v>95373.94</v>
          </cell>
          <cell r="AX383">
            <v>7113.72</v>
          </cell>
          <cell r="AY383">
            <v>970.83</v>
          </cell>
          <cell r="AZ383">
            <v>5876.07</v>
          </cell>
          <cell r="BA383">
            <v>194609.49</v>
          </cell>
          <cell r="BB383">
            <v>-182381.3</v>
          </cell>
          <cell r="BC383">
            <v>6402.12</v>
          </cell>
          <cell r="BD383">
            <v>53475.59</v>
          </cell>
          <cell r="BE383">
            <v>70464.28</v>
          </cell>
          <cell r="BF383">
            <v>5876.07</v>
          </cell>
          <cell r="BG383">
            <v>5876.07</v>
          </cell>
          <cell r="BH383">
            <v>8837.2800000000007</v>
          </cell>
          <cell r="BI383">
            <v>10405.48</v>
          </cell>
          <cell r="BJ383">
            <v>6546</v>
          </cell>
          <cell r="BK383">
            <v>70158.22</v>
          </cell>
          <cell r="BL383">
            <v>149349.24</v>
          </cell>
          <cell r="BM383">
            <v>149272.71</v>
          </cell>
          <cell r="BN383">
            <v>136387.71</v>
          </cell>
          <cell r="BO383">
            <v>128595.4</v>
          </cell>
          <cell r="BP383">
            <v>75832.62</v>
          </cell>
          <cell r="BQ383">
            <v>-142669.13</v>
          </cell>
          <cell r="BR383">
            <v>82858.12</v>
          </cell>
          <cell r="BS383">
            <v>12758.09</v>
          </cell>
          <cell r="BT383">
            <v>55656.33</v>
          </cell>
          <cell r="BU383">
            <v>104937.93</v>
          </cell>
          <cell r="BV383">
            <v>46607.1</v>
          </cell>
          <cell r="BW383">
            <v>151912.15</v>
          </cell>
          <cell r="BX383">
            <v>174102.82</v>
          </cell>
          <cell r="BY383">
            <v>81033.11</v>
          </cell>
          <cell r="BZ383">
            <v>173380.65</v>
          </cell>
          <cell r="CA383">
            <v>63600.09</v>
          </cell>
          <cell r="CB383">
            <v>82038.13</v>
          </cell>
          <cell r="CC383">
            <v>-189338.35</v>
          </cell>
          <cell r="CD383">
            <v>79856.78</v>
          </cell>
          <cell r="CE383">
            <v>74863.97</v>
          </cell>
          <cell r="CF383">
            <v>65231.29</v>
          </cell>
          <cell r="CG383">
            <v>84812.63</v>
          </cell>
          <cell r="CH383">
            <v>100107.05</v>
          </cell>
          <cell r="CI383">
            <v>128129.2</v>
          </cell>
          <cell r="CJ383">
            <v>159645.94</v>
          </cell>
          <cell r="CK383">
            <v>160555.04999999999</v>
          </cell>
          <cell r="CL383">
            <v>131893.68</v>
          </cell>
          <cell r="CM383">
            <v>25497.43</v>
          </cell>
          <cell r="CN383">
            <v>47144.56</v>
          </cell>
          <cell r="CO383">
            <v>76453.02</v>
          </cell>
          <cell r="CP383">
            <v>20020.509999999998</v>
          </cell>
          <cell r="CQ383">
            <v>20020.509999999998</v>
          </cell>
          <cell r="CR383">
            <v>20020.509999999998</v>
          </cell>
          <cell r="CS383">
            <v>20020.509999999998</v>
          </cell>
          <cell r="CT383">
            <v>20020.509999999998</v>
          </cell>
          <cell r="CU383">
            <v>20020.509999999998</v>
          </cell>
          <cell r="CV383">
            <v>14646.42</v>
          </cell>
          <cell r="CW383">
            <v>14649.1</v>
          </cell>
          <cell r="CX383">
            <v>14647.65</v>
          </cell>
          <cell r="CY383">
            <v>14819.35</v>
          </cell>
          <cell r="CZ383">
            <v>14690.59</v>
          </cell>
          <cell r="DA383">
            <v>14690.59</v>
          </cell>
          <cell r="DB383">
            <v>14690.59</v>
          </cell>
          <cell r="DC383">
            <v>14690.59</v>
          </cell>
          <cell r="DD383">
            <v>14690.59</v>
          </cell>
          <cell r="DE383">
            <v>14690.59</v>
          </cell>
          <cell r="DF383">
            <v>14690.59</v>
          </cell>
          <cell r="DG383">
            <v>14690.59</v>
          </cell>
          <cell r="DH383">
            <v>176287.24</v>
          </cell>
        </row>
        <row r="384">
          <cell r="A384" t="str">
            <v>7500090</v>
          </cell>
          <cell r="B384" t="str">
            <v>7500090</v>
          </cell>
          <cell r="C384" t="str">
            <v>Int Exp Oth ST Borrw</v>
          </cell>
          <cell r="AZ384">
            <v>0</v>
          </cell>
          <cell r="BA384">
            <v>0</v>
          </cell>
          <cell r="BB384">
            <v>307481.36</v>
          </cell>
          <cell r="BC384">
            <v>102797.2</v>
          </cell>
          <cell r="BD384">
            <v>74870.73</v>
          </cell>
          <cell r="BE384">
            <v>72428.31</v>
          </cell>
          <cell r="BF384">
            <v>64912.76</v>
          </cell>
          <cell r="BG384">
            <v>76242.16</v>
          </cell>
          <cell r="BH384">
            <v>84145.93</v>
          </cell>
          <cell r="BI384">
            <v>22617.87</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1029</v>
          </cell>
          <cell r="BZ384">
            <v>1905.17</v>
          </cell>
          <cell r="CA384">
            <v>1467.06</v>
          </cell>
          <cell r="CB384">
            <v>1467.06</v>
          </cell>
          <cell r="CC384">
            <v>286758.73</v>
          </cell>
          <cell r="CD384">
            <v>36342.06</v>
          </cell>
          <cell r="CE384">
            <v>36342.06</v>
          </cell>
          <cell r="CF384">
            <v>35217.06</v>
          </cell>
          <cell r="CG384">
            <v>36342.06</v>
          </cell>
          <cell r="CH384">
            <v>35217.06</v>
          </cell>
          <cell r="CI384">
            <v>36342.06</v>
          </cell>
          <cell r="CJ384">
            <v>36342.06</v>
          </cell>
          <cell r="CK384">
            <v>33687.96</v>
          </cell>
          <cell r="CL384">
            <v>27648.54</v>
          </cell>
          <cell r="CM384">
            <v>2543.25</v>
          </cell>
          <cell r="CN384">
            <v>0</v>
          </cell>
          <cell r="CO384">
            <v>15740.72</v>
          </cell>
          <cell r="CP384">
            <v>28556.34</v>
          </cell>
          <cell r="CQ384">
            <v>33177.919999999998</v>
          </cell>
          <cell r="CR384">
            <v>24179.1</v>
          </cell>
          <cell r="CS384">
            <v>37730.400000000001</v>
          </cell>
          <cell r="CT384">
            <v>38920.99</v>
          </cell>
          <cell r="CU384">
            <v>60485.26</v>
          </cell>
          <cell r="CV384">
            <v>100569.19</v>
          </cell>
          <cell r="CW384">
            <v>78520.929999999993</v>
          </cell>
          <cell r="CX384">
            <v>123584.72</v>
          </cell>
          <cell r="CY384">
            <v>165185.74</v>
          </cell>
          <cell r="CZ384">
            <v>233904.99</v>
          </cell>
          <cell r="DA384">
            <v>259724.36</v>
          </cell>
          <cell r="DB384">
            <v>317014.84999999998</v>
          </cell>
          <cell r="DC384">
            <v>247335.28</v>
          </cell>
          <cell r="DD384">
            <v>357594.99</v>
          </cell>
          <cell r="DE384">
            <v>503501.47</v>
          </cell>
          <cell r="DF384">
            <v>596762.27</v>
          </cell>
          <cell r="DG384">
            <v>747294.69</v>
          </cell>
          <cell r="DH384">
            <v>3730993.4799999995</v>
          </cell>
        </row>
        <row r="385">
          <cell r="A385" t="str">
            <v>7500100</v>
          </cell>
          <cell r="B385" t="str">
            <v>7500100</v>
          </cell>
          <cell r="C385" t="str">
            <v>Int Exp Taxes</v>
          </cell>
          <cell r="BL385">
            <v>0</v>
          </cell>
          <cell r="BM385">
            <v>0</v>
          </cell>
          <cell r="BN385">
            <v>57.76</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98.91</v>
          </cell>
          <cell r="CI385">
            <v>0</v>
          </cell>
          <cell r="CJ385">
            <v>0</v>
          </cell>
          <cell r="CK385">
            <v>0</v>
          </cell>
          <cell r="CL385">
            <v>0</v>
          </cell>
          <cell r="CM385">
            <v>0</v>
          </cell>
          <cell r="CN385">
            <v>0</v>
          </cell>
          <cell r="CO385">
            <v>0</v>
          </cell>
          <cell r="CP385">
            <v>68.680000000000007</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row>
        <row r="386">
          <cell r="A386" t="str">
            <v>7500110</v>
          </cell>
          <cell r="B386" t="str">
            <v>7500110</v>
          </cell>
          <cell r="C386" t="str">
            <v>Int Exp LT Debt</v>
          </cell>
          <cell r="D386">
            <v>997107.72</v>
          </cell>
          <cell r="E386">
            <v>997107.72</v>
          </cell>
          <cell r="F386">
            <v>997107.72</v>
          </cell>
          <cell r="G386">
            <v>997107.72</v>
          </cell>
          <cell r="H386">
            <v>1015232.72</v>
          </cell>
          <cell r="I386">
            <v>1033357.72</v>
          </cell>
          <cell r="J386">
            <v>1033357.72</v>
          </cell>
          <cell r="K386">
            <v>1033357.72</v>
          </cell>
          <cell r="L386">
            <v>1033357.72</v>
          </cell>
          <cell r="M386">
            <v>1033357.72</v>
          </cell>
          <cell r="N386">
            <v>1033357.72</v>
          </cell>
          <cell r="O386">
            <v>1033357.72</v>
          </cell>
          <cell r="P386">
            <v>1033357.72</v>
          </cell>
          <cell r="Q386">
            <v>1033357.73</v>
          </cell>
          <cell r="R386">
            <v>1033357.73</v>
          </cell>
          <cell r="S386">
            <v>1033357.73</v>
          </cell>
          <cell r="T386">
            <v>1033357.73</v>
          </cell>
          <cell r="U386">
            <v>1136024.3999999999</v>
          </cell>
          <cell r="V386">
            <v>1103357.73</v>
          </cell>
          <cell r="W386">
            <v>1103357.73</v>
          </cell>
          <cell r="X386">
            <v>1103357.73</v>
          </cell>
          <cell r="Y386">
            <v>1103357.73</v>
          </cell>
          <cell r="Z386">
            <v>1103357.73</v>
          </cell>
          <cell r="AA386">
            <v>1103357.73</v>
          </cell>
          <cell r="AB386">
            <v>1103357.73</v>
          </cell>
          <cell r="AC386">
            <v>1103357.73</v>
          </cell>
          <cell r="AD386">
            <v>1103357.73</v>
          </cell>
          <cell r="AE386">
            <v>1103357.73</v>
          </cell>
          <cell r="AF386">
            <v>1103357.73</v>
          </cell>
          <cell r="AG386">
            <v>1103357.73</v>
          </cell>
          <cell r="AH386">
            <v>1103357.73</v>
          </cell>
          <cell r="AI386">
            <v>1093107.73</v>
          </cell>
          <cell r="AJ386">
            <v>1103357.73</v>
          </cell>
          <cell r="AK386">
            <v>1103357.73</v>
          </cell>
          <cell r="AL386">
            <v>1103357.73</v>
          </cell>
          <cell r="AM386">
            <v>1103357.73</v>
          </cell>
          <cell r="AN386">
            <v>1103357.73</v>
          </cell>
          <cell r="AO386">
            <v>1103357.73</v>
          </cell>
          <cell r="AP386">
            <v>1103357.73</v>
          </cell>
          <cell r="AQ386">
            <v>1103357.73</v>
          </cell>
          <cell r="AR386">
            <v>1103357.73</v>
          </cell>
          <cell r="AS386">
            <v>1103357.73</v>
          </cell>
          <cell r="AT386">
            <v>1103357.73</v>
          </cell>
          <cell r="AU386">
            <v>1103357.73</v>
          </cell>
          <cell r="AV386">
            <v>1103357.73</v>
          </cell>
          <cell r="AW386">
            <v>1103357.73</v>
          </cell>
          <cell r="AX386">
            <v>1103357.73</v>
          </cell>
          <cell r="AY386">
            <v>1103357.73</v>
          </cell>
          <cell r="AZ386">
            <v>1103357.73</v>
          </cell>
          <cell r="BA386">
            <v>1103357.73</v>
          </cell>
          <cell r="BB386">
            <v>1103357.73</v>
          </cell>
          <cell r="BC386">
            <v>1103357.73</v>
          </cell>
          <cell r="BD386">
            <v>976274</v>
          </cell>
          <cell r="BE386">
            <v>1055232.6499999999</v>
          </cell>
          <cell r="BF386">
            <v>1117941.06</v>
          </cell>
          <cell r="BG386">
            <v>1117941.06</v>
          </cell>
          <cell r="BH386">
            <v>1117941.06</v>
          </cell>
          <cell r="BI386">
            <v>1198288.32</v>
          </cell>
          <cell r="BJ386">
            <v>1210649.3899999999</v>
          </cell>
          <cell r="BK386">
            <v>1210649.3899999999</v>
          </cell>
          <cell r="BL386">
            <v>1210649.3899999999</v>
          </cell>
          <cell r="BM386">
            <v>1210649.3899999999</v>
          </cell>
          <cell r="BN386">
            <v>1210649.3899999999</v>
          </cell>
          <cell r="BO386">
            <v>1210649.3899999999</v>
          </cell>
          <cell r="BP386">
            <v>1210649.3899999999</v>
          </cell>
          <cell r="BQ386">
            <v>1210649.3899999999</v>
          </cell>
          <cell r="BR386">
            <v>1230788.28</v>
          </cell>
          <cell r="BS386">
            <v>1286170.22</v>
          </cell>
          <cell r="BT386">
            <v>1286170.22</v>
          </cell>
          <cell r="BU386">
            <v>1286170.22</v>
          </cell>
          <cell r="BV386">
            <v>1286170.22</v>
          </cell>
          <cell r="BW386">
            <v>1286170.22</v>
          </cell>
          <cell r="BX386">
            <v>1286170.22</v>
          </cell>
          <cell r="BY386">
            <v>1286170.22</v>
          </cell>
          <cell r="BZ386">
            <v>1281135.51</v>
          </cell>
          <cell r="CA386">
            <v>1286170.22</v>
          </cell>
          <cell r="CB386">
            <v>1286170.22</v>
          </cell>
          <cell r="CC386">
            <v>1286170.22</v>
          </cell>
          <cell r="CD386">
            <v>1286170.22</v>
          </cell>
          <cell r="CE386">
            <v>1286170.22</v>
          </cell>
          <cell r="CF386">
            <v>1286170.22</v>
          </cell>
          <cell r="CG386">
            <v>1286170.22</v>
          </cell>
          <cell r="CH386">
            <v>1286170.22</v>
          </cell>
          <cell r="CI386">
            <v>1286170.22</v>
          </cell>
          <cell r="CJ386">
            <v>1286170.22</v>
          </cell>
          <cell r="CK386">
            <v>1286170.22</v>
          </cell>
          <cell r="CL386">
            <v>1603857.72</v>
          </cell>
          <cell r="CM386">
            <v>1846795.22</v>
          </cell>
          <cell r="CN386">
            <v>1636354.16</v>
          </cell>
          <cell r="CO386">
            <v>1741574.69</v>
          </cell>
          <cell r="CP386">
            <v>1636354.16</v>
          </cell>
          <cell r="CQ386">
            <v>1636354.16</v>
          </cell>
          <cell r="CR386">
            <v>1542916.66</v>
          </cell>
          <cell r="CS386">
            <v>1636354.16</v>
          </cell>
          <cell r="CT386">
            <v>1636354.16</v>
          </cell>
          <cell r="CU386">
            <v>1636354.16</v>
          </cell>
          <cell r="CV386">
            <v>1636354.16</v>
          </cell>
          <cell r="CW386">
            <v>1636354.16</v>
          </cell>
          <cell r="CX386">
            <v>1636354.16</v>
          </cell>
          <cell r="CY386">
            <v>1636354.16</v>
          </cell>
          <cell r="CZ386">
            <v>1636354.16</v>
          </cell>
          <cell r="DA386">
            <v>1636354.16</v>
          </cell>
          <cell r="DB386">
            <v>1802760.41</v>
          </cell>
          <cell r="DC386">
            <v>1913697.91</v>
          </cell>
          <cell r="DD386">
            <v>1886614.45</v>
          </cell>
          <cell r="DE386">
            <v>1859531.24</v>
          </cell>
          <cell r="DF386">
            <v>1859531.24</v>
          </cell>
          <cell r="DG386">
            <v>1859531.24</v>
          </cell>
          <cell r="DH386">
            <v>20999791.449999996</v>
          </cell>
        </row>
        <row r="387">
          <cell r="A387" t="str">
            <v>7500120</v>
          </cell>
          <cell r="B387" t="str">
            <v>7500120</v>
          </cell>
          <cell r="C387" t="str">
            <v>Int Exp Amz Disc LTD</v>
          </cell>
          <cell r="D387">
            <v>1582.5</v>
          </cell>
          <cell r="E387">
            <v>1582.5</v>
          </cell>
          <cell r="F387">
            <v>1582.5</v>
          </cell>
          <cell r="G387">
            <v>1582.5</v>
          </cell>
          <cell r="H387">
            <v>1582.5</v>
          </cell>
          <cell r="I387">
            <v>1610.42</v>
          </cell>
          <cell r="J387">
            <v>1601.11</v>
          </cell>
          <cell r="K387">
            <v>1601.11</v>
          </cell>
          <cell r="L387">
            <v>1601.11</v>
          </cell>
          <cell r="M387">
            <v>1601.11</v>
          </cell>
          <cell r="N387">
            <v>1601.11</v>
          </cell>
          <cell r="O387">
            <v>1601.11</v>
          </cell>
          <cell r="P387">
            <v>1601.11</v>
          </cell>
          <cell r="Q387">
            <v>1601.11</v>
          </cell>
          <cell r="R387">
            <v>1601.11</v>
          </cell>
          <cell r="S387">
            <v>1601.11</v>
          </cell>
          <cell r="T387">
            <v>1601.11</v>
          </cell>
          <cell r="U387">
            <v>1705.64</v>
          </cell>
          <cell r="V387">
            <v>1704.44</v>
          </cell>
          <cell r="W387">
            <v>1704.44</v>
          </cell>
          <cell r="X387">
            <v>1704.44</v>
          </cell>
          <cell r="Y387">
            <v>1704.44</v>
          </cell>
          <cell r="Z387">
            <v>1704.44</v>
          </cell>
          <cell r="AA387">
            <v>1704.44</v>
          </cell>
          <cell r="AB387">
            <v>1704.44</v>
          </cell>
          <cell r="AC387">
            <v>1704.44</v>
          </cell>
          <cell r="AD387">
            <v>1704.44</v>
          </cell>
          <cell r="AE387">
            <v>1704.44</v>
          </cell>
          <cell r="AF387">
            <v>1704.44</v>
          </cell>
          <cell r="AG387">
            <v>1704.44</v>
          </cell>
          <cell r="AH387">
            <v>1704.44</v>
          </cell>
          <cell r="AI387">
            <v>1704.44</v>
          </cell>
          <cell r="AJ387">
            <v>1704.44</v>
          </cell>
          <cell r="AK387">
            <v>1704.44</v>
          </cell>
          <cell r="AL387">
            <v>1704.44</v>
          </cell>
          <cell r="AM387">
            <v>1704.44</v>
          </cell>
          <cell r="AN387">
            <v>1704.44</v>
          </cell>
          <cell r="AO387">
            <v>1704.44</v>
          </cell>
          <cell r="AP387">
            <v>1704.44</v>
          </cell>
          <cell r="AQ387">
            <v>1704.44</v>
          </cell>
          <cell r="AR387">
            <v>1704.44</v>
          </cell>
          <cell r="AS387">
            <v>1704.44</v>
          </cell>
          <cell r="AT387">
            <v>1704.44</v>
          </cell>
          <cell r="AU387">
            <v>1704.44</v>
          </cell>
          <cell r="AV387">
            <v>1704.44</v>
          </cell>
          <cell r="AW387">
            <v>1704.44</v>
          </cell>
          <cell r="AX387">
            <v>1704.44</v>
          </cell>
          <cell r="AY387">
            <v>1704.44</v>
          </cell>
          <cell r="AZ387">
            <v>1704.44</v>
          </cell>
          <cell r="BA387">
            <v>1704.44</v>
          </cell>
          <cell r="BB387">
            <v>1704.44</v>
          </cell>
          <cell r="BC387">
            <v>1704.44</v>
          </cell>
          <cell r="BD387">
            <v>1704.44</v>
          </cell>
          <cell r="BE387">
            <v>2819.91</v>
          </cell>
          <cell r="BF387">
            <v>2821.11</v>
          </cell>
          <cell r="BG387">
            <v>2821.11</v>
          </cell>
          <cell r="BH387">
            <v>2821.11</v>
          </cell>
          <cell r="BI387">
            <v>3167.06</v>
          </cell>
          <cell r="BJ387">
            <v>3168.26</v>
          </cell>
          <cell r="BK387">
            <v>3168.26</v>
          </cell>
          <cell r="BL387">
            <v>3168.26</v>
          </cell>
          <cell r="BM387">
            <v>3168.26</v>
          </cell>
          <cell r="BN387">
            <v>3168.26</v>
          </cell>
          <cell r="BO387">
            <v>3168.26</v>
          </cell>
          <cell r="BP387">
            <v>3168.26</v>
          </cell>
          <cell r="BQ387">
            <v>3168.26</v>
          </cell>
          <cell r="BR387">
            <v>3168.26</v>
          </cell>
          <cell r="BS387">
            <v>3992.76</v>
          </cell>
          <cell r="BT387">
            <v>3994.41</v>
          </cell>
          <cell r="BU387">
            <v>3994.41</v>
          </cell>
          <cell r="BV387">
            <v>3994.41</v>
          </cell>
          <cell r="BW387">
            <v>3994.41</v>
          </cell>
          <cell r="BX387">
            <v>3994.41</v>
          </cell>
          <cell r="BY387">
            <v>3994.41</v>
          </cell>
          <cell r="BZ387">
            <v>3994.41</v>
          </cell>
          <cell r="CA387">
            <v>3994.41</v>
          </cell>
          <cell r="CB387">
            <v>3994.41</v>
          </cell>
          <cell r="CC387">
            <v>3994.41</v>
          </cell>
          <cell r="CD387">
            <v>3994.41</v>
          </cell>
          <cell r="CE387">
            <v>3994.41</v>
          </cell>
          <cell r="CF387">
            <v>3994.41</v>
          </cell>
          <cell r="CG387">
            <v>3994.41</v>
          </cell>
          <cell r="CH387">
            <v>3994.41</v>
          </cell>
          <cell r="CI387">
            <v>3994.41</v>
          </cell>
          <cell r="CJ387">
            <v>3994.41</v>
          </cell>
          <cell r="CK387">
            <v>3994.41</v>
          </cell>
          <cell r="CL387">
            <v>7830.94</v>
          </cell>
          <cell r="CM387">
            <v>7652.44</v>
          </cell>
          <cell r="CN387">
            <v>7830.94</v>
          </cell>
          <cell r="CO387">
            <v>7830.94</v>
          </cell>
          <cell r="CP387">
            <v>7830.94</v>
          </cell>
          <cell r="CQ387">
            <v>7830.94</v>
          </cell>
          <cell r="CR387">
            <v>7830.94</v>
          </cell>
          <cell r="CS387">
            <v>7830.94</v>
          </cell>
          <cell r="CT387">
            <v>7830.94</v>
          </cell>
          <cell r="CU387">
            <v>7830.94</v>
          </cell>
          <cell r="CV387">
            <v>7830.94</v>
          </cell>
          <cell r="CW387">
            <v>7830.94</v>
          </cell>
          <cell r="CX387">
            <v>7830.94</v>
          </cell>
          <cell r="CY387">
            <v>7830.94</v>
          </cell>
          <cell r="CZ387">
            <v>7830.94</v>
          </cell>
          <cell r="DA387">
            <v>7830.94</v>
          </cell>
          <cell r="DB387">
            <v>8557.49</v>
          </cell>
          <cell r="DC387">
            <v>8555.8700000000008</v>
          </cell>
          <cell r="DD387">
            <v>8555.8700000000008</v>
          </cell>
          <cell r="DE387">
            <v>8301.7000000000007</v>
          </cell>
          <cell r="DF387">
            <v>8301.7000000000007</v>
          </cell>
          <cell r="DG387">
            <v>8301.7000000000007</v>
          </cell>
          <cell r="DH387">
            <v>97559.969999999987</v>
          </cell>
        </row>
        <row r="388">
          <cell r="A388" t="str">
            <v>7500130</v>
          </cell>
          <cell r="B388" t="str">
            <v>7500130</v>
          </cell>
          <cell r="C388" t="str">
            <v>Int Exp Amz Fees LTD</v>
          </cell>
          <cell r="D388">
            <v>43660.99</v>
          </cell>
          <cell r="E388">
            <v>43660.99</v>
          </cell>
          <cell r="F388">
            <v>43660.99</v>
          </cell>
          <cell r="G388">
            <v>43660.99</v>
          </cell>
          <cell r="H388">
            <v>43675.37</v>
          </cell>
          <cell r="I388">
            <v>44086.239999999998</v>
          </cell>
          <cell r="J388">
            <v>43971.83</v>
          </cell>
          <cell r="K388">
            <v>43963.13</v>
          </cell>
          <cell r="L388">
            <v>44167.34</v>
          </cell>
          <cell r="M388">
            <v>43995.54</v>
          </cell>
          <cell r="N388">
            <v>43993.45</v>
          </cell>
          <cell r="O388">
            <v>43993.45</v>
          </cell>
          <cell r="P388">
            <v>43993.45</v>
          </cell>
          <cell r="Q388">
            <v>43993.45</v>
          </cell>
          <cell r="R388">
            <v>43993.45</v>
          </cell>
          <cell r="S388">
            <v>43993.45</v>
          </cell>
          <cell r="T388">
            <v>76660.12</v>
          </cell>
          <cell r="U388">
            <v>10942.84</v>
          </cell>
          <cell r="V388">
            <v>43616.11</v>
          </cell>
          <cell r="W388">
            <v>43612.81</v>
          </cell>
          <cell r="X388">
            <v>43723.93</v>
          </cell>
          <cell r="Y388">
            <v>43640.59</v>
          </cell>
          <cell r="Z388">
            <v>43639.88</v>
          </cell>
          <cell r="AA388">
            <v>43658.71</v>
          </cell>
          <cell r="AB388">
            <v>43640.59</v>
          </cell>
          <cell r="AC388">
            <v>43640.59</v>
          </cell>
          <cell r="AD388">
            <v>43640.59</v>
          </cell>
          <cell r="AE388">
            <v>43640.59</v>
          </cell>
          <cell r="AF388">
            <v>43640.59</v>
          </cell>
          <cell r="AG388">
            <v>43640.59</v>
          </cell>
          <cell r="AH388">
            <v>43640.59</v>
          </cell>
          <cell r="AI388">
            <v>43640.59</v>
          </cell>
          <cell r="AJ388">
            <v>43640.59</v>
          </cell>
          <cell r="AK388">
            <v>43640.59</v>
          </cell>
          <cell r="AL388">
            <v>43640.59</v>
          </cell>
          <cell r="AM388">
            <v>43640.59</v>
          </cell>
          <cell r="AN388">
            <v>43640.59</v>
          </cell>
          <cell r="AO388">
            <v>43640.59</v>
          </cell>
          <cell r="AP388">
            <v>43640.59</v>
          </cell>
          <cell r="AQ388">
            <v>43640.59</v>
          </cell>
          <cell r="AR388">
            <v>43640.59</v>
          </cell>
          <cell r="AS388">
            <v>43640.59</v>
          </cell>
          <cell r="AT388">
            <v>43640.59</v>
          </cell>
          <cell r="AU388">
            <v>43640.59</v>
          </cell>
          <cell r="AV388">
            <v>43640.59</v>
          </cell>
          <cell r="AW388">
            <v>43640.59</v>
          </cell>
          <cell r="AX388">
            <v>43640.59</v>
          </cell>
          <cell r="AY388">
            <v>43640.59</v>
          </cell>
          <cell r="AZ388">
            <v>43640.59</v>
          </cell>
          <cell r="BA388">
            <v>43640.59</v>
          </cell>
          <cell r="BB388">
            <v>43640.59</v>
          </cell>
          <cell r="BC388">
            <v>43640.59</v>
          </cell>
          <cell r="BD388">
            <v>25664.55</v>
          </cell>
          <cell r="BE388">
            <v>9797.19</v>
          </cell>
          <cell r="BF388">
            <v>9883.1299999999992</v>
          </cell>
          <cell r="BG388">
            <v>9885.27</v>
          </cell>
          <cell r="BH388">
            <v>10320.620000000001</v>
          </cell>
          <cell r="BI388">
            <v>10636.85</v>
          </cell>
          <cell r="BJ388">
            <v>10660.83</v>
          </cell>
          <cell r="BK388">
            <v>10682.06</v>
          </cell>
          <cell r="BL388">
            <v>10654.62</v>
          </cell>
          <cell r="BM388">
            <v>10654.62</v>
          </cell>
          <cell r="BN388">
            <v>10884.14</v>
          </cell>
          <cell r="BO388">
            <v>10692.66</v>
          </cell>
          <cell r="BP388">
            <v>10692.66</v>
          </cell>
          <cell r="BQ388">
            <v>10692.66</v>
          </cell>
          <cell r="BR388">
            <v>10692.66</v>
          </cell>
          <cell r="BS388">
            <v>11405.86</v>
          </cell>
          <cell r="BT388">
            <v>11465.91</v>
          </cell>
          <cell r="BU388">
            <v>11435.41</v>
          </cell>
          <cell r="BV388">
            <v>11435.41</v>
          </cell>
          <cell r="BW388">
            <v>11633.81</v>
          </cell>
          <cell r="BX388">
            <v>11475.51</v>
          </cell>
          <cell r="BY388">
            <v>11475.51</v>
          </cell>
          <cell r="BZ388">
            <v>11486.87</v>
          </cell>
          <cell r="CA388">
            <v>11476.79</v>
          </cell>
          <cell r="CB388">
            <v>11476.79</v>
          </cell>
          <cell r="CC388">
            <v>11476.79</v>
          </cell>
          <cell r="CD388">
            <v>11476.79</v>
          </cell>
          <cell r="CE388">
            <v>11476.79</v>
          </cell>
          <cell r="CF388">
            <v>11476.79</v>
          </cell>
          <cell r="CG388">
            <v>11476.79</v>
          </cell>
          <cell r="CH388">
            <v>11476.79</v>
          </cell>
          <cell r="CI388">
            <v>11476.79</v>
          </cell>
          <cell r="CJ388">
            <v>11476.79</v>
          </cell>
          <cell r="CK388">
            <v>11476.79</v>
          </cell>
          <cell r="CL388">
            <v>21131.59</v>
          </cell>
          <cell r="CM388">
            <v>22693.21</v>
          </cell>
          <cell r="CN388">
            <v>24477.97</v>
          </cell>
          <cell r="CO388">
            <v>26535.63</v>
          </cell>
          <cell r="CP388">
            <v>23717.69</v>
          </cell>
          <cell r="CQ388">
            <v>23717.69</v>
          </cell>
          <cell r="CR388">
            <v>23717.69</v>
          </cell>
          <cell r="CS388">
            <v>23717.69</v>
          </cell>
          <cell r="CT388">
            <v>25183.59</v>
          </cell>
          <cell r="CU388">
            <v>23717.69</v>
          </cell>
          <cell r="CV388">
            <v>23717.69</v>
          </cell>
          <cell r="CW388">
            <v>23717.69</v>
          </cell>
          <cell r="CX388">
            <v>23717.69</v>
          </cell>
          <cell r="CY388">
            <v>23717.69</v>
          </cell>
          <cell r="CZ388">
            <v>23717.69</v>
          </cell>
          <cell r="DA388">
            <v>23717.69</v>
          </cell>
          <cell r="DB388">
            <v>29831.29</v>
          </cell>
          <cell r="DC388">
            <v>32956.74</v>
          </cell>
          <cell r="DD388">
            <v>31446.14</v>
          </cell>
          <cell r="DE388">
            <v>31017.47</v>
          </cell>
          <cell r="DF388">
            <v>30085.98</v>
          </cell>
          <cell r="DG388">
            <v>30085.98</v>
          </cell>
          <cell r="DH388">
            <v>327729.74</v>
          </cell>
        </row>
        <row r="389">
          <cell r="A389" t="str">
            <v>7500240</v>
          </cell>
          <cell r="B389" t="str">
            <v>7500240</v>
          </cell>
          <cell r="C389" t="str">
            <v>Int Ex Dfd Conserv</v>
          </cell>
          <cell r="D389">
            <v>0</v>
          </cell>
          <cell r="E389">
            <v>0</v>
          </cell>
          <cell r="F389">
            <v>0</v>
          </cell>
          <cell r="G389">
            <v>26</v>
          </cell>
          <cell r="H389">
            <v>34</v>
          </cell>
          <cell r="I389">
            <v>33</v>
          </cell>
          <cell r="J389">
            <v>29</v>
          </cell>
          <cell r="K389">
            <v>12</v>
          </cell>
          <cell r="L389">
            <v>0</v>
          </cell>
          <cell r="M389">
            <v>0</v>
          </cell>
          <cell r="N389">
            <v>0</v>
          </cell>
          <cell r="O389">
            <v>2</v>
          </cell>
          <cell r="P389">
            <v>39</v>
          </cell>
          <cell r="Q389">
            <v>85</v>
          </cell>
          <cell r="R389">
            <v>141</v>
          </cell>
          <cell r="S389">
            <v>135</v>
          </cell>
          <cell r="T389">
            <v>169</v>
          </cell>
          <cell r="U389">
            <v>192</v>
          </cell>
          <cell r="V389">
            <v>191</v>
          </cell>
          <cell r="W389">
            <v>203</v>
          </cell>
          <cell r="X389">
            <v>208</v>
          </cell>
          <cell r="Y389">
            <v>181</v>
          </cell>
          <cell r="Z389">
            <v>186</v>
          </cell>
          <cell r="AA389">
            <v>449</v>
          </cell>
          <cell r="AB389">
            <v>731</v>
          </cell>
          <cell r="AC389">
            <v>850</v>
          </cell>
          <cell r="AD389">
            <v>998</v>
          </cell>
          <cell r="AE389">
            <v>952</v>
          </cell>
          <cell r="AF389">
            <v>887</v>
          </cell>
          <cell r="AG389">
            <v>825</v>
          </cell>
          <cell r="AH389">
            <v>710</v>
          </cell>
          <cell r="AI389">
            <v>537</v>
          </cell>
          <cell r="AJ389">
            <v>380</v>
          </cell>
          <cell r="AK389">
            <v>246</v>
          </cell>
          <cell r="AL389">
            <v>121</v>
          </cell>
          <cell r="AM389">
            <v>25</v>
          </cell>
          <cell r="AN389">
            <v>178</v>
          </cell>
          <cell r="AO389">
            <v>607</v>
          </cell>
          <cell r="AP389">
            <v>966</v>
          </cell>
          <cell r="AQ389">
            <v>1317</v>
          </cell>
          <cell r="AR389">
            <v>1260</v>
          </cell>
          <cell r="AS389">
            <v>977</v>
          </cell>
          <cell r="AT389">
            <v>470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213</v>
          </cell>
          <cell r="CX389">
            <v>586</v>
          </cell>
          <cell r="CY389">
            <v>1115</v>
          </cell>
          <cell r="CZ389">
            <v>2257</v>
          </cell>
          <cell r="DA389">
            <v>4470</v>
          </cell>
          <cell r="DB389">
            <v>6063</v>
          </cell>
          <cell r="DC389">
            <v>5314</v>
          </cell>
          <cell r="DD389">
            <v>5129</v>
          </cell>
          <cell r="DE389">
            <v>4808</v>
          </cell>
          <cell r="DF389">
            <v>4677</v>
          </cell>
          <cell r="DG389">
            <v>5145</v>
          </cell>
          <cell r="DH389">
            <v>39777</v>
          </cell>
        </row>
        <row r="390">
          <cell r="A390" t="str">
            <v>7500260</v>
          </cell>
          <cell r="B390" t="str">
            <v>7500260</v>
          </cell>
          <cell r="C390" t="str">
            <v>Int Ex Dfd PGA</v>
          </cell>
          <cell r="D390">
            <v>0</v>
          </cell>
          <cell r="E390">
            <v>0</v>
          </cell>
          <cell r="F390">
            <v>0</v>
          </cell>
          <cell r="G390">
            <v>145</v>
          </cell>
          <cell r="H390">
            <v>142</v>
          </cell>
          <cell r="I390">
            <v>117</v>
          </cell>
          <cell r="J390">
            <v>206</v>
          </cell>
          <cell r="K390">
            <v>249</v>
          </cell>
          <cell r="L390">
            <v>246</v>
          </cell>
          <cell r="M390">
            <v>185</v>
          </cell>
          <cell r="N390">
            <v>-26</v>
          </cell>
          <cell r="O390">
            <v>-153</v>
          </cell>
          <cell r="P390">
            <v>0</v>
          </cell>
          <cell r="Q390">
            <v>0</v>
          </cell>
          <cell r="R390">
            <v>0</v>
          </cell>
          <cell r="S390">
            <v>39</v>
          </cell>
          <cell r="T390">
            <v>0</v>
          </cell>
          <cell r="U390">
            <v>7</v>
          </cell>
          <cell r="V390">
            <v>53</v>
          </cell>
          <cell r="W390">
            <v>32</v>
          </cell>
          <cell r="X390">
            <v>38</v>
          </cell>
          <cell r="Y390">
            <v>0</v>
          </cell>
          <cell r="Z390">
            <v>0</v>
          </cell>
          <cell r="AA390">
            <v>0</v>
          </cell>
          <cell r="AB390">
            <v>0</v>
          </cell>
          <cell r="AC390">
            <v>0</v>
          </cell>
          <cell r="AD390">
            <v>682</v>
          </cell>
          <cell r="AE390">
            <v>987</v>
          </cell>
          <cell r="AF390">
            <v>1333</v>
          </cell>
          <cell r="AG390">
            <v>1981</v>
          </cell>
          <cell r="AH390">
            <v>2510</v>
          </cell>
          <cell r="AI390">
            <v>2952</v>
          </cell>
          <cell r="AJ390">
            <v>3171</v>
          </cell>
          <cell r="AK390">
            <v>2765</v>
          </cell>
          <cell r="AL390">
            <v>1640</v>
          </cell>
          <cell r="AM390">
            <v>1208</v>
          </cell>
          <cell r="AN390">
            <v>1465</v>
          </cell>
          <cell r="AO390">
            <v>2428</v>
          </cell>
          <cell r="AP390">
            <v>2665</v>
          </cell>
          <cell r="AQ390">
            <v>2079</v>
          </cell>
          <cell r="AR390">
            <v>2454</v>
          </cell>
          <cell r="AS390">
            <v>2364</v>
          </cell>
          <cell r="AT390">
            <v>1592</v>
          </cell>
          <cell r="AU390">
            <v>489</v>
          </cell>
          <cell r="AV390">
            <v>396</v>
          </cell>
          <cell r="AW390">
            <v>0</v>
          </cell>
          <cell r="AX390">
            <v>0</v>
          </cell>
          <cell r="AY390">
            <v>0</v>
          </cell>
          <cell r="AZ390">
            <v>0</v>
          </cell>
          <cell r="BA390">
            <v>7008</v>
          </cell>
          <cell r="BB390">
            <v>10442</v>
          </cell>
          <cell r="BC390">
            <v>11887</v>
          </cell>
          <cell r="BD390">
            <v>14614</v>
          </cell>
          <cell r="BE390">
            <v>15470</v>
          </cell>
          <cell r="BF390">
            <v>16526</v>
          </cell>
          <cell r="BG390">
            <v>16307</v>
          </cell>
          <cell r="BH390">
            <v>17347</v>
          </cell>
          <cell r="BI390">
            <v>16180</v>
          </cell>
          <cell r="BJ390">
            <v>7595</v>
          </cell>
          <cell r="BK390">
            <v>0</v>
          </cell>
          <cell r="BL390">
            <v>0</v>
          </cell>
          <cell r="BM390">
            <v>2141</v>
          </cell>
          <cell r="BN390">
            <v>6687</v>
          </cell>
          <cell r="BO390">
            <v>10771</v>
          </cell>
          <cell r="BP390">
            <v>15937</v>
          </cell>
          <cell r="BQ390">
            <v>19071</v>
          </cell>
          <cell r="BR390">
            <v>19102</v>
          </cell>
          <cell r="BS390">
            <v>16727</v>
          </cell>
          <cell r="BT390">
            <v>15362</v>
          </cell>
          <cell r="BU390">
            <v>12311</v>
          </cell>
          <cell r="BV390">
            <v>7698</v>
          </cell>
          <cell r="BW390">
            <v>6973</v>
          </cell>
          <cell r="BX390">
            <v>10190</v>
          </cell>
          <cell r="BY390">
            <v>14048</v>
          </cell>
          <cell r="BZ390">
            <v>19934</v>
          </cell>
          <cell r="CA390">
            <v>12890</v>
          </cell>
          <cell r="CB390">
            <v>798</v>
          </cell>
          <cell r="CC390">
            <v>1089</v>
          </cell>
          <cell r="CD390">
            <v>1320</v>
          </cell>
          <cell r="CE390">
            <v>1275</v>
          </cell>
          <cell r="CF390">
            <v>881</v>
          </cell>
          <cell r="CG390">
            <v>579</v>
          </cell>
          <cell r="CH390">
            <v>442</v>
          </cell>
          <cell r="CI390">
            <v>228</v>
          </cell>
          <cell r="CJ390">
            <v>339</v>
          </cell>
          <cell r="CK390">
            <v>372</v>
          </cell>
          <cell r="CL390">
            <v>194</v>
          </cell>
          <cell r="CM390">
            <v>269</v>
          </cell>
          <cell r="CN390">
            <v>261</v>
          </cell>
          <cell r="CO390">
            <v>276</v>
          </cell>
          <cell r="CP390">
            <v>310</v>
          </cell>
          <cell r="CQ390">
            <v>248</v>
          </cell>
          <cell r="CR390">
            <v>201</v>
          </cell>
          <cell r="CS390">
            <v>0</v>
          </cell>
          <cell r="CT390">
            <v>0</v>
          </cell>
          <cell r="CU390">
            <v>0</v>
          </cell>
          <cell r="CV390">
            <v>0</v>
          </cell>
          <cell r="CW390">
            <v>0</v>
          </cell>
          <cell r="CX390">
            <v>0</v>
          </cell>
          <cell r="CY390">
            <v>0</v>
          </cell>
          <cell r="CZ390">
            <v>914</v>
          </cell>
          <cell r="DA390">
            <v>631</v>
          </cell>
          <cell r="DB390">
            <v>1830</v>
          </cell>
          <cell r="DC390">
            <v>6412</v>
          </cell>
          <cell r="DD390">
            <v>17668</v>
          </cell>
          <cell r="DE390">
            <v>32197</v>
          </cell>
          <cell r="DF390">
            <v>25709</v>
          </cell>
          <cell r="DG390">
            <v>2297</v>
          </cell>
          <cell r="DH390">
            <v>87658</v>
          </cell>
        </row>
        <row r="391">
          <cell r="A391" t="str">
            <v>7500271</v>
          </cell>
          <cell r="B391" t="str">
            <v>7500271</v>
          </cell>
          <cell r="C391" t="str">
            <v>Int Ex CI/BSR Rider</v>
          </cell>
          <cell r="D391">
            <v>6</v>
          </cell>
          <cell r="E391">
            <v>11</v>
          </cell>
          <cell r="F391">
            <v>16</v>
          </cell>
          <cell r="G391">
            <v>23</v>
          </cell>
          <cell r="H391">
            <v>20</v>
          </cell>
          <cell r="I391">
            <v>16</v>
          </cell>
          <cell r="J391">
            <v>19</v>
          </cell>
          <cell r="K391">
            <v>16</v>
          </cell>
          <cell r="L391">
            <v>13</v>
          </cell>
          <cell r="M391">
            <v>9</v>
          </cell>
          <cell r="N391">
            <v>6</v>
          </cell>
          <cell r="O391">
            <v>4</v>
          </cell>
          <cell r="P391">
            <v>11</v>
          </cell>
          <cell r="Q391">
            <v>26</v>
          </cell>
          <cell r="R391">
            <v>37</v>
          </cell>
          <cell r="S391">
            <v>32</v>
          </cell>
          <cell r="T391">
            <v>36</v>
          </cell>
          <cell r="U391">
            <v>37</v>
          </cell>
          <cell r="V391">
            <v>31</v>
          </cell>
          <cell r="W391">
            <v>27</v>
          </cell>
          <cell r="X391">
            <v>21</v>
          </cell>
          <cell r="Y391">
            <v>11</v>
          </cell>
          <cell r="Z391">
            <v>0</v>
          </cell>
          <cell r="AA391">
            <v>0</v>
          </cell>
          <cell r="AB391">
            <v>0</v>
          </cell>
          <cell r="AC391">
            <v>39</v>
          </cell>
          <cell r="AD391">
            <v>91</v>
          </cell>
          <cell r="AE391">
            <v>106</v>
          </cell>
          <cell r="AF391">
            <v>103</v>
          </cell>
          <cell r="AG391">
            <v>93</v>
          </cell>
          <cell r="AH391">
            <v>743</v>
          </cell>
          <cell r="AI391">
            <v>721</v>
          </cell>
          <cell r="AJ391">
            <v>716</v>
          </cell>
          <cell r="AK391">
            <v>710</v>
          </cell>
          <cell r="AL391">
            <v>653</v>
          </cell>
          <cell r="AM391">
            <v>1225</v>
          </cell>
          <cell r="AN391">
            <v>1024</v>
          </cell>
          <cell r="AO391">
            <v>959</v>
          </cell>
          <cell r="AP391">
            <v>1024</v>
          </cell>
          <cell r="AQ391">
            <v>1072</v>
          </cell>
          <cell r="AR391">
            <v>939</v>
          </cell>
          <cell r="AS391">
            <v>865</v>
          </cell>
          <cell r="AT391">
            <v>681</v>
          </cell>
          <cell r="AU391">
            <v>396</v>
          </cell>
          <cell r="AV391">
            <v>96</v>
          </cell>
          <cell r="AW391">
            <v>0</v>
          </cell>
          <cell r="AX391">
            <v>-1</v>
          </cell>
          <cell r="AY391">
            <v>-879</v>
          </cell>
          <cell r="AZ391">
            <v>0</v>
          </cell>
          <cell r="BA391">
            <v>0</v>
          </cell>
          <cell r="BB391">
            <v>228</v>
          </cell>
          <cell r="BC391">
            <v>590</v>
          </cell>
          <cell r="BD391">
            <v>1916</v>
          </cell>
          <cell r="BE391">
            <v>902</v>
          </cell>
          <cell r="BF391">
            <v>1239</v>
          </cell>
          <cell r="BG391">
            <v>1048</v>
          </cell>
          <cell r="BH391">
            <v>887</v>
          </cell>
          <cell r="BI391">
            <v>635</v>
          </cell>
          <cell r="BJ391">
            <v>285</v>
          </cell>
          <cell r="BK391">
            <v>297</v>
          </cell>
          <cell r="BL391">
            <v>454</v>
          </cell>
          <cell r="BM391">
            <v>-285</v>
          </cell>
          <cell r="BN391">
            <v>935</v>
          </cell>
          <cell r="BO391">
            <v>806</v>
          </cell>
          <cell r="BP391">
            <v>435</v>
          </cell>
          <cell r="BQ391">
            <v>1</v>
          </cell>
          <cell r="BR391">
            <v>0</v>
          </cell>
          <cell r="BS391">
            <v>0</v>
          </cell>
          <cell r="BT391">
            <v>0</v>
          </cell>
          <cell r="BU391">
            <v>155</v>
          </cell>
          <cell r="BV391">
            <v>0</v>
          </cell>
          <cell r="BW391">
            <v>-634</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13</v>
          </cell>
          <cell r="CZ391">
            <v>46</v>
          </cell>
          <cell r="DA391">
            <v>220</v>
          </cell>
          <cell r="DB391">
            <v>438</v>
          </cell>
          <cell r="DC391">
            <v>282</v>
          </cell>
          <cell r="DD391">
            <v>0</v>
          </cell>
          <cell r="DE391">
            <v>0</v>
          </cell>
          <cell r="DF391">
            <v>0</v>
          </cell>
          <cell r="DG391">
            <v>0</v>
          </cell>
          <cell r="DH391">
            <v>999</v>
          </cell>
        </row>
        <row r="392">
          <cell r="A392" t="str">
            <v>7500700</v>
          </cell>
          <cell r="B392" t="str">
            <v>7500700</v>
          </cell>
          <cell r="C392" t="str">
            <v>Int Exp Intercompany</v>
          </cell>
          <cell r="D392">
            <v>8.7899999999999991</v>
          </cell>
          <cell r="E392">
            <v>0</v>
          </cell>
          <cell r="F392">
            <v>0</v>
          </cell>
          <cell r="G392">
            <v>0</v>
          </cell>
          <cell r="H392">
            <v>0</v>
          </cell>
          <cell r="I392">
            <v>0</v>
          </cell>
          <cell r="J392">
            <v>0</v>
          </cell>
          <cell r="K392">
            <v>21.92</v>
          </cell>
          <cell r="L392">
            <v>471.22</v>
          </cell>
          <cell r="M392">
            <v>359.57</v>
          </cell>
          <cell r="N392">
            <v>0</v>
          </cell>
          <cell r="O392">
            <v>255.48</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4.37</v>
          </cell>
          <cell r="AL392">
            <v>0</v>
          </cell>
          <cell r="AM392">
            <v>0</v>
          </cell>
          <cell r="AN392">
            <v>0</v>
          </cell>
          <cell r="AO392">
            <v>0</v>
          </cell>
          <cell r="AP392">
            <v>0</v>
          </cell>
          <cell r="AQ392">
            <v>0</v>
          </cell>
          <cell r="AR392">
            <v>0</v>
          </cell>
          <cell r="AS392">
            <v>0</v>
          </cell>
          <cell r="AT392">
            <v>0</v>
          </cell>
          <cell r="AU392">
            <v>0</v>
          </cell>
          <cell r="AV392">
            <v>0</v>
          </cell>
          <cell r="AW392">
            <v>0</v>
          </cell>
          <cell r="AX392">
            <v>11265.77</v>
          </cell>
          <cell r="AY392">
            <v>17164.080000000002</v>
          </cell>
          <cell r="AZ392">
            <v>0</v>
          </cell>
          <cell r="BA392">
            <v>0</v>
          </cell>
          <cell r="BB392">
            <v>0</v>
          </cell>
          <cell r="BC392">
            <v>0</v>
          </cell>
          <cell r="BD392">
            <v>0</v>
          </cell>
          <cell r="BE392">
            <v>0</v>
          </cell>
          <cell r="BF392">
            <v>0</v>
          </cell>
          <cell r="BG392">
            <v>0</v>
          </cell>
          <cell r="BH392">
            <v>0</v>
          </cell>
          <cell r="BI392">
            <v>10930.39</v>
          </cell>
          <cell r="BJ392">
            <v>9713.34</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219.4</v>
          </cell>
          <cell r="CA392">
            <v>0</v>
          </cell>
          <cell r="CB392">
            <v>0</v>
          </cell>
          <cell r="CC392">
            <v>0</v>
          </cell>
          <cell r="CD392">
            <v>0</v>
          </cell>
          <cell r="CE392">
            <v>0</v>
          </cell>
          <cell r="CF392">
            <v>0</v>
          </cell>
          <cell r="CG392">
            <v>0</v>
          </cell>
          <cell r="CH392">
            <v>0</v>
          </cell>
          <cell r="CI392">
            <v>0</v>
          </cell>
          <cell r="CJ392">
            <v>0</v>
          </cell>
          <cell r="CK392">
            <v>0</v>
          </cell>
          <cell r="CL392">
            <v>278.17</v>
          </cell>
          <cell r="CM392">
            <v>993.1</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cell r="DA392">
            <v>0</v>
          </cell>
          <cell r="DB392">
            <v>17810.62</v>
          </cell>
          <cell r="DC392">
            <v>65441.59</v>
          </cell>
          <cell r="DD392">
            <v>30893.3</v>
          </cell>
          <cell r="DE392">
            <v>0</v>
          </cell>
          <cell r="DF392">
            <v>0</v>
          </cell>
          <cell r="DG392">
            <v>0</v>
          </cell>
          <cell r="DH392">
            <v>114145.51</v>
          </cell>
        </row>
        <row r="393">
          <cell r="A393" t="str">
            <v>7500800</v>
          </cell>
          <cell r="B393" t="str">
            <v>7500800</v>
          </cell>
          <cell r="C393" t="str">
            <v>Int Exp Misc</v>
          </cell>
          <cell r="D393">
            <v>0</v>
          </cell>
          <cell r="E393">
            <v>137.62</v>
          </cell>
          <cell r="F393">
            <v>0</v>
          </cell>
          <cell r="G393">
            <v>0</v>
          </cell>
          <cell r="H393">
            <v>285.36</v>
          </cell>
          <cell r="I393">
            <v>0</v>
          </cell>
          <cell r="J393">
            <v>0</v>
          </cell>
          <cell r="K393">
            <v>0</v>
          </cell>
          <cell r="L393">
            <v>0</v>
          </cell>
          <cell r="M393">
            <v>0</v>
          </cell>
          <cell r="N393">
            <v>0</v>
          </cell>
          <cell r="O393">
            <v>0</v>
          </cell>
          <cell r="P393">
            <v>461.02</v>
          </cell>
          <cell r="Q393">
            <v>87.8</v>
          </cell>
          <cell r="R393">
            <v>505.88</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7988.7</v>
          </cell>
          <cell r="AZ393">
            <v>0</v>
          </cell>
          <cell r="BA393">
            <v>0</v>
          </cell>
          <cell r="BB393">
            <v>0</v>
          </cell>
          <cell r="BC393">
            <v>0</v>
          </cell>
          <cell r="BD393">
            <v>0</v>
          </cell>
          <cell r="BE393">
            <v>0</v>
          </cell>
          <cell r="BF393">
            <v>0</v>
          </cell>
          <cell r="BG393">
            <v>74.58</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H393">
            <v>0</v>
          </cell>
          <cell r="CI393">
            <v>0</v>
          </cell>
          <cell r="CJ393">
            <v>0</v>
          </cell>
          <cell r="CK393">
            <v>0</v>
          </cell>
          <cell r="CL393">
            <v>0</v>
          </cell>
          <cell r="CM393">
            <v>0</v>
          </cell>
          <cell r="CN393">
            <v>0</v>
          </cell>
          <cell r="CO393">
            <v>0</v>
          </cell>
          <cell r="CP393">
            <v>0</v>
          </cell>
          <cell r="CQ393">
            <v>0</v>
          </cell>
          <cell r="CR393">
            <v>0</v>
          </cell>
          <cell r="CS393">
            <v>0</v>
          </cell>
          <cell r="CT393">
            <v>0</v>
          </cell>
          <cell r="CU393">
            <v>0</v>
          </cell>
          <cell r="CV393">
            <v>0</v>
          </cell>
          <cell r="CW393">
            <v>0</v>
          </cell>
          <cell r="CX393">
            <v>0</v>
          </cell>
          <cell r="CY393">
            <v>0</v>
          </cell>
          <cell r="CZ393">
            <v>0</v>
          </cell>
          <cell r="DA393">
            <v>0</v>
          </cell>
          <cell r="DB393">
            <v>0</v>
          </cell>
          <cell r="DC393">
            <v>0</v>
          </cell>
          <cell r="DD393">
            <v>0</v>
          </cell>
          <cell r="DE393">
            <v>0</v>
          </cell>
          <cell r="DF393">
            <v>0</v>
          </cell>
          <cell r="DG393">
            <v>0</v>
          </cell>
          <cell r="DH393">
            <v>0</v>
          </cell>
        </row>
        <row r="394">
          <cell r="A394" t="str">
            <v>7509000</v>
          </cell>
          <cell r="B394" t="str">
            <v>7509000</v>
          </cell>
          <cell r="C394" t="str">
            <v>Int Exp to BalSheet</v>
          </cell>
          <cell r="BU394">
            <v>0</v>
          </cell>
          <cell r="BV394">
            <v>0</v>
          </cell>
          <cell r="BW394">
            <v>-151005.57</v>
          </cell>
          <cell r="BX394">
            <v>-41123.9</v>
          </cell>
          <cell r="BY394">
            <v>-51382.78</v>
          </cell>
          <cell r="BZ394">
            <v>-60040.59</v>
          </cell>
          <cell r="CA394">
            <v>-68313.5</v>
          </cell>
          <cell r="CB394">
            <v>-82831.14</v>
          </cell>
          <cell r="CC394">
            <v>-94708.89</v>
          </cell>
          <cell r="CD394">
            <v>-101897.5</v>
          </cell>
          <cell r="CE394">
            <v>-113702.74</v>
          </cell>
          <cell r="CF394">
            <v>-127173</v>
          </cell>
          <cell r="CG394">
            <v>-100603.36</v>
          </cell>
          <cell r="CH394">
            <v>-74277.42</v>
          </cell>
          <cell r="CI394">
            <v>-85997.18</v>
          </cell>
          <cell r="CJ394">
            <v>-97828.96</v>
          </cell>
          <cell r="CK394">
            <v>-118962.67</v>
          </cell>
          <cell r="CL394">
            <v>-125175.22</v>
          </cell>
          <cell r="CM394">
            <v>-101772.96</v>
          </cell>
          <cell r="CN394">
            <v>-70765.289999999994</v>
          </cell>
          <cell r="CO394">
            <v>-73446.960000000006</v>
          </cell>
          <cell r="CP394">
            <v>-79548.13</v>
          </cell>
          <cell r="CQ394">
            <v>-89530.79</v>
          </cell>
          <cell r="CR394">
            <v>-98143.71</v>
          </cell>
          <cell r="CS394">
            <v>-105329.65</v>
          </cell>
          <cell r="CT394">
            <v>-37935.15</v>
          </cell>
          <cell r="CU394">
            <v>-52206.77</v>
          </cell>
          <cell r="CV394">
            <v>-57599.07</v>
          </cell>
          <cell r="CW394">
            <v>-62866.879999999997</v>
          </cell>
          <cell r="CX394">
            <v>-68331.64</v>
          </cell>
          <cell r="CY394">
            <v>-75234.820000000007</v>
          </cell>
          <cell r="CZ394">
            <v>-83191.78</v>
          </cell>
          <cell r="DA394">
            <v>-92933.84</v>
          </cell>
          <cell r="DB394">
            <v>-103760.02</v>
          </cell>
          <cell r="DC394">
            <v>-111463.17</v>
          </cell>
          <cell r="DD394">
            <v>-118085.17</v>
          </cell>
          <cell r="DE394">
            <v>-53459.64</v>
          </cell>
          <cell r="DF394">
            <v>-78253.39</v>
          </cell>
          <cell r="DG394">
            <v>-84749.19</v>
          </cell>
          <cell r="DH394">
            <v>-989928.6100000001</v>
          </cell>
        </row>
        <row r="395">
          <cell r="A395" t="str">
            <v>8000300</v>
          </cell>
          <cell r="B395" t="str">
            <v>8000300</v>
          </cell>
          <cell r="C395" t="str">
            <v>FIT Expense</v>
          </cell>
          <cell r="D395">
            <v>10122.36</v>
          </cell>
          <cell r="E395">
            <v>25294.86</v>
          </cell>
          <cell r="F395">
            <v>-3700.35</v>
          </cell>
          <cell r="G395">
            <v>59824.84</v>
          </cell>
          <cell r="H395">
            <v>-75602.44</v>
          </cell>
          <cell r="I395">
            <v>5163.3</v>
          </cell>
          <cell r="J395">
            <v>-25949.67</v>
          </cell>
          <cell r="K395">
            <v>-176.25</v>
          </cell>
          <cell r="L395">
            <v>10965.6</v>
          </cell>
          <cell r="M395">
            <v>3161.79</v>
          </cell>
          <cell r="N395">
            <v>-1615.38</v>
          </cell>
          <cell r="O395">
            <v>-63004.54</v>
          </cell>
          <cell r="P395">
            <v>5381.85</v>
          </cell>
          <cell r="Q395">
            <v>-3546.26</v>
          </cell>
          <cell r="R395">
            <v>-16936.259999999998</v>
          </cell>
          <cell r="S395">
            <v>-14255.84</v>
          </cell>
          <cell r="T395">
            <v>8603.56</v>
          </cell>
          <cell r="U395">
            <v>54731.41</v>
          </cell>
          <cell r="V395">
            <v>-5930.27</v>
          </cell>
          <cell r="W395">
            <v>588.51</v>
          </cell>
          <cell r="X395">
            <v>-47242.42</v>
          </cell>
          <cell r="Y395">
            <v>-1020.55</v>
          </cell>
          <cell r="Z395">
            <v>1781.75</v>
          </cell>
          <cell r="AA395">
            <v>172124.63</v>
          </cell>
          <cell r="AB395">
            <v>-3781.53</v>
          </cell>
          <cell r="AC395">
            <v>15347.9</v>
          </cell>
          <cell r="AD395">
            <v>-8510.25</v>
          </cell>
          <cell r="AE395">
            <v>3723.48</v>
          </cell>
          <cell r="AF395">
            <v>3858.13</v>
          </cell>
          <cell r="AG395">
            <v>-12811.93</v>
          </cell>
          <cell r="AH395">
            <v>71554.399999999994</v>
          </cell>
          <cell r="AI395">
            <v>135643.66</v>
          </cell>
          <cell r="AJ395">
            <v>251997.05</v>
          </cell>
          <cell r="AK395">
            <v>299178.48</v>
          </cell>
          <cell r="AL395">
            <v>62872.31</v>
          </cell>
          <cell r="AM395">
            <v>-556784.52</v>
          </cell>
          <cell r="AN395">
            <v>92848.33</v>
          </cell>
          <cell r="AO395">
            <v>66780.37</v>
          </cell>
          <cell r="AP395">
            <v>-71138.710000000006</v>
          </cell>
          <cell r="AQ395">
            <v>61139.63</v>
          </cell>
          <cell r="AR395">
            <v>59751.73</v>
          </cell>
          <cell r="AS395">
            <v>-169119.88</v>
          </cell>
          <cell r="AT395">
            <v>49796.88</v>
          </cell>
          <cell r="AU395">
            <v>53389.22</v>
          </cell>
          <cell r="AV395">
            <v>-136021.54</v>
          </cell>
          <cell r="AW395">
            <v>55034</v>
          </cell>
          <cell r="AX395">
            <v>55756.78</v>
          </cell>
          <cell r="AY395">
            <v>-113989.37</v>
          </cell>
          <cell r="AZ395">
            <v>36835.35</v>
          </cell>
          <cell r="BA395">
            <v>37551.25</v>
          </cell>
          <cell r="BB395">
            <v>-57030.31</v>
          </cell>
          <cell r="BC395">
            <v>20225.560000000001</v>
          </cell>
          <cell r="BD395">
            <v>31519.63</v>
          </cell>
          <cell r="BE395">
            <v>-64769.19</v>
          </cell>
          <cell r="BF395">
            <v>35411.68</v>
          </cell>
          <cell r="BG395">
            <v>32253.11</v>
          </cell>
          <cell r="BH395">
            <v>-76720.649999999994</v>
          </cell>
          <cell r="BI395">
            <v>24561.97</v>
          </cell>
          <cell r="BJ395">
            <v>25472.53</v>
          </cell>
          <cell r="BK395">
            <v>-106607.26</v>
          </cell>
          <cell r="BL395">
            <v>31834.66</v>
          </cell>
          <cell r="BM395">
            <v>34047.11</v>
          </cell>
          <cell r="BN395">
            <v>-29119.27</v>
          </cell>
          <cell r="BO395">
            <v>35700.839999999997</v>
          </cell>
          <cell r="BP395">
            <v>30783.18</v>
          </cell>
          <cell r="BQ395">
            <v>-65700.22</v>
          </cell>
          <cell r="BR395">
            <v>36316.379999999997</v>
          </cell>
          <cell r="BS395">
            <v>60936.21</v>
          </cell>
          <cell r="BT395">
            <v>-64190.71</v>
          </cell>
          <cell r="BU395">
            <v>48994.2</v>
          </cell>
          <cell r="BV395">
            <v>46673.56</v>
          </cell>
          <cell r="BW395">
            <v>-105699.92</v>
          </cell>
          <cell r="BX395">
            <v>61284.160000000003</v>
          </cell>
          <cell r="BY395">
            <v>55255.78</v>
          </cell>
          <cell r="BZ395">
            <v>-68433.66</v>
          </cell>
          <cell r="CA395">
            <v>65775.91</v>
          </cell>
          <cell r="CB395">
            <v>71264.73</v>
          </cell>
          <cell r="CC395">
            <v>77081.289999999994</v>
          </cell>
          <cell r="CD395">
            <v>66153.63</v>
          </cell>
          <cell r="CE395">
            <v>71392.66</v>
          </cell>
          <cell r="CF395">
            <v>-259505.43</v>
          </cell>
          <cell r="CG395">
            <v>55129.61</v>
          </cell>
          <cell r="CH395">
            <v>41684.720000000001</v>
          </cell>
          <cell r="CI395">
            <v>-335893.09</v>
          </cell>
          <cell r="CJ395">
            <v>60084.54</v>
          </cell>
          <cell r="CK395">
            <v>64674.45</v>
          </cell>
          <cell r="CL395">
            <v>-69800.52</v>
          </cell>
          <cell r="CM395">
            <v>61763.78</v>
          </cell>
          <cell r="CN395">
            <v>42420.41</v>
          </cell>
          <cell r="CO395">
            <v>-84066.36</v>
          </cell>
          <cell r="CP395">
            <v>47131.27</v>
          </cell>
          <cell r="CQ395">
            <v>51985.35</v>
          </cell>
          <cell r="CR395">
            <v>-68204.160000000003</v>
          </cell>
          <cell r="CS395">
            <v>61934.62</v>
          </cell>
          <cell r="CT395">
            <v>20440.650000000001</v>
          </cell>
          <cell r="CU395">
            <v>-83078.460000000006</v>
          </cell>
          <cell r="CV395">
            <v>24109.95</v>
          </cell>
          <cell r="CW395">
            <v>38168.89</v>
          </cell>
          <cell r="CX395">
            <v>-7365.18</v>
          </cell>
          <cell r="CY395">
            <v>34245.730000000003</v>
          </cell>
          <cell r="CZ395">
            <v>47866.65</v>
          </cell>
          <cell r="DA395">
            <v>38030.76</v>
          </cell>
          <cell r="DB395">
            <v>66225.08</v>
          </cell>
          <cell r="DC395">
            <v>80586.92</v>
          </cell>
          <cell r="DD395">
            <v>86886.73</v>
          </cell>
          <cell r="DE395">
            <v>40575.79</v>
          </cell>
          <cell r="DF395">
            <v>56463.12</v>
          </cell>
          <cell r="DG395">
            <v>-588227.1</v>
          </cell>
          <cell r="DH395">
            <v>-82432.660000000033</v>
          </cell>
        </row>
        <row r="396">
          <cell r="A396" t="str">
            <v>8000310</v>
          </cell>
          <cell r="B396" t="str">
            <v>8000310</v>
          </cell>
          <cell r="C396" t="str">
            <v>FIT Expense ATL</v>
          </cell>
          <cell r="D396">
            <v>2064386.37</v>
          </cell>
          <cell r="E396">
            <v>2571435.4500000002</v>
          </cell>
          <cell r="F396">
            <v>2720974.61</v>
          </cell>
          <cell r="G396">
            <v>1419590.41</v>
          </cell>
          <cell r="H396">
            <v>1368909.15</v>
          </cell>
          <cell r="I396">
            <v>964813.63</v>
          </cell>
          <cell r="J396">
            <v>585498.98</v>
          </cell>
          <cell r="K396">
            <v>335584.38</v>
          </cell>
          <cell r="L396">
            <v>-1440494.73</v>
          </cell>
          <cell r="M396">
            <v>1666897.1</v>
          </cell>
          <cell r="N396">
            <v>-989523.84</v>
          </cell>
          <cell r="O396">
            <v>-5934692.4100000001</v>
          </cell>
          <cell r="P396">
            <v>3092367.22</v>
          </cell>
          <cell r="Q396">
            <v>1356392.26</v>
          </cell>
          <cell r="R396">
            <v>2443576.7599999998</v>
          </cell>
          <cell r="S396">
            <v>1063438.46</v>
          </cell>
          <cell r="T396">
            <v>911085.07</v>
          </cell>
          <cell r="U396">
            <v>1328024.7</v>
          </cell>
          <cell r="V396">
            <v>1032068.85</v>
          </cell>
          <cell r="W396">
            <v>1041214.7</v>
          </cell>
          <cell r="X396">
            <v>-340093.6</v>
          </cell>
          <cell r="Y396">
            <v>-231977.58</v>
          </cell>
          <cell r="Z396">
            <v>-143324.25</v>
          </cell>
          <cell r="AA396">
            <v>-9406716.0899999999</v>
          </cell>
          <cell r="AB396">
            <v>1893147.91</v>
          </cell>
          <cell r="AC396">
            <v>2490082.4900000002</v>
          </cell>
          <cell r="AD396">
            <v>920944.22</v>
          </cell>
          <cell r="AE396">
            <v>461251.11</v>
          </cell>
          <cell r="AF396">
            <v>151914.46</v>
          </cell>
          <cell r="AG396">
            <v>-25607.040000000001</v>
          </cell>
          <cell r="AH396">
            <v>210102.48</v>
          </cell>
          <cell r="AI396">
            <v>-798849.92</v>
          </cell>
          <cell r="AJ396">
            <v>1077049.5900000001</v>
          </cell>
          <cell r="AK396">
            <v>-652907.23</v>
          </cell>
          <cell r="AL396">
            <v>-225097.1</v>
          </cell>
          <cell r="AM396">
            <v>527993.18000000005</v>
          </cell>
          <cell r="AN396">
            <v>1749506.33</v>
          </cell>
          <cell r="AO396">
            <v>-541872.85</v>
          </cell>
          <cell r="AP396">
            <v>39810.129999999997</v>
          </cell>
          <cell r="AQ396">
            <v>395846.5</v>
          </cell>
          <cell r="AR396">
            <v>-704499.48</v>
          </cell>
          <cell r="AS396">
            <v>-855500.59</v>
          </cell>
          <cell r="AT396">
            <v>-864763</v>
          </cell>
          <cell r="AU396">
            <v>-906942.67</v>
          </cell>
          <cell r="AV396">
            <v>1539013.49</v>
          </cell>
          <cell r="AW396">
            <v>-1752700.95</v>
          </cell>
          <cell r="AX396">
            <v>-903079.65</v>
          </cell>
          <cell r="AY396">
            <v>5428060.2800000003</v>
          </cell>
          <cell r="AZ396">
            <v>2576885.4900000002</v>
          </cell>
          <cell r="BA396">
            <v>361097.41</v>
          </cell>
          <cell r="BB396">
            <v>800032.71</v>
          </cell>
          <cell r="BC396">
            <v>1080651.92</v>
          </cell>
          <cell r="BD396">
            <v>255319.65</v>
          </cell>
          <cell r="BE396">
            <v>480004.13</v>
          </cell>
          <cell r="BF396">
            <v>224960.63</v>
          </cell>
          <cell r="BG396">
            <v>-909855.17</v>
          </cell>
          <cell r="BH396">
            <v>394063.87</v>
          </cell>
          <cell r="BI396">
            <v>-221786.83</v>
          </cell>
          <cell r="BJ396">
            <v>-3288246.17</v>
          </cell>
          <cell r="BK396">
            <v>1972591.15</v>
          </cell>
          <cell r="BL396">
            <v>1613712.42</v>
          </cell>
          <cell r="BM396">
            <v>36052.230000000003</v>
          </cell>
          <cell r="BN396">
            <v>1025371.45</v>
          </cell>
          <cell r="BO396">
            <v>553919.17000000004</v>
          </cell>
          <cell r="BP396">
            <v>336031.09</v>
          </cell>
          <cell r="BQ396">
            <v>267179.34000000003</v>
          </cell>
          <cell r="BR396">
            <v>106751.32</v>
          </cell>
          <cell r="BS396">
            <v>89990.02</v>
          </cell>
          <cell r="BT396">
            <v>186096.53</v>
          </cell>
          <cell r="BU396">
            <v>190805.14</v>
          </cell>
          <cell r="BV396">
            <v>491884.42</v>
          </cell>
          <cell r="BW396">
            <v>202471.14</v>
          </cell>
          <cell r="BX396">
            <v>2575571.04</v>
          </cell>
          <cell r="BY396">
            <v>-1617160.33</v>
          </cell>
          <cell r="BZ396">
            <v>455513.67</v>
          </cell>
          <cell r="CA396">
            <v>194425.77</v>
          </cell>
          <cell r="CB396">
            <v>-245727.53</v>
          </cell>
          <cell r="CC396">
            <v>65760.34</v>
          </cell>
          <cell r="CD396">
            <v>-328747.68</v>
          </cell>
          <cell r="CE396">
            <v>-69051.22</v>
          </cell>
          <cell r="CF396">
            <v>232796.89</v>
          </cell>
          <cell r="CG396">
            <v>-1301454.24</v>
          </cell>
          <cell r="CH396">
            <v>209489.76</v>
          </cell>
          <cell r="CI396">
            <v>466916.1</v>
          </cell>
          <cell r="CJ396">
            <v>2336145.2200000002</v>
          </cell>
          <cell r="CK396">
            <v>945831.72</v>
          </cell>
          <cell r="CL396">
            <v>-345762.75</v>
          </cell>
          <cell r="CM396">
            <v>847359.34</v>
          </cell>
          <cell r="CN396">
            <v>-203997.68</v>
          </cell>
          <cell r="CO396">
            <v>1667072.22</v>
          </cell>
          <cell r="CP396">
            <v>-241107.61</v>
          </cell>
          <cell r="CQ396">
            <v>542237.17000000004</v>
          </cell>
          <cell r="CR396">
            <v>1423656.53</v>
          </cell>
          <cell r="CS396">
            <v>-1386541.32</v>
          </cell>
          <cell r="CT396">
            <v>-1358183.9</v>
          </cell>
          <cell r="CU396">
            <v>3287146.75</v>
          </cell>
          <cell r="CV396">
            <v>2249478.2000000002</v>
          </cell>
          <cell r="CW396">
            <v>2714231.25</v>
          </cell>
          <cell r="CX396">
            <v>205788.01</v>
          </cell>
          <cell r="CY396">
            <v>931922.02</v>
          </cell>
          <cell r="CZ396">
            <v>362376.66</v>
          </cell>
          <cell r="DA396">
            <v>269352.5</v>
          </cell>
          <cell r="DB396">
            <v>-173544</v>
          </cell>
          <cell r="DC396">
            <v>-2722463.79</v>
          </cell>
          <cell r="DD396">
            <v>631907.04</v>
          </cell>
          <cell r="DE396">
            <v>-460870.6</v>
          </cell>
          <cell r="DF396">
            <v>5056.24</v>
          </cell>
          <cell r="DG396">
            <v>-111306.76</v>
          </cell>
          <cell r="DH396">
            <v>3901926.7700000009</v>
          </cell>
        </row>
        <row r="397">
          <cell r="A397" t="str">
            <v>8000400</v>
          </cell>
          <cell r="B397" t="str">
            <v>8000400</v>
          </cell>
          <cell r="C397" t="str">
            <v>SIT Expense</v>
          </cell>
          <cell r="D397">
            <v>1683.23</v>
          </cell>
          <cell r="E397">
            <v>4206.25</v>
          </cell>
          <cell r="F397">
            <v>-615.32000000000005</v>
          </cell>
          <cell r="G397">
            <v>9948.19</v>
          </cell>
          <cell r="H397">
            <v>-12571.83</v>
          </cell>
          <cell r="I397">
            <v>858.6</v>
          </cell>
          <cell r="J397">
            <v>-4315.1400000000003</v>
          </cell>
          <cell r="K397">
            <v>-29.31</v>
          </cell>
          <cell r="L397">
            <v>1823.46</v>
          </cell>
          <cell r="M397">
            <v>525.77</v>
          </cell>
          <cell r="N397">
            <v>-268.62</v>
          </cell>
          <cell r="O397">
            <v>-10476.94</v>
          </cell>
          <cell r="P397">
            <v>894.94</v>
          </cell>
          <cell r="Q397">
            <v>-589.70000000000005</v>
          </cell>
          <cell r="R397">
            <v>-2816.31</v>
          </cell>
          <cell r="S397">
            <v>-2370.59</v>
          </cell>
          <cell r="T397">
            <v>1430.68</v>
          </cell>
          <cell r="U397">
            <v>9101.2099999999991</v>
          </cell>
          <cell r="V397">
            <v>-986.13</v>
          </cell>
          <cell r="W397">
            <v>97.86</v>
          </cell>
          <cell r="X397">
            <v>-7855.88</v>
          </cell>
          <cell r="Y397">
            <v>-169.71</v>
          </cell>
          <cell r="Z397">
            <v>296.29000000000002</v>
          </cell>
          <cell r="AA397">
            <v>28622.38</v>
          </cell>
          <cell r="AB397">
            <v>-628.83000000000004</v>
          </cell>
          <cell r="AC397">
            <v>2552.19</v>
          </cell>
          <cell r="AD397">
            <v>-1415.16</v>
          </cell>
          <cell r="AE397">
            <v>619.16999999999996</v>
          </cell>
          <cell r="AF397">
            <v>641.57000000000005</v>
          </cell>
          <cell r="AG397">
            <v>-2130.4899999999998</v>
          </cell>
          <cell r="AH397">
            <v>11898.7</v>
          </cell>
          <cell r="AI397">
            <v>22556.01</v>
          </cell>
          <cell r="AJ397">
            <v>41904.269999999997</v>
          </cell>
          <cell r="AK397">
            <v>49750.01</v>
          </cell>
          <cell r="AL397">
            <v>10454.959999999999</v>
          </cell>
          <cell r="AM397">
            <v>-92586.99</v>
          </cell>
          <cell r="AN397">
            <v>15439.63</v>
          </cell>
          <cell r="AO397">
            <v>11104.82</v>
          </cell>
          <cell r="AP397">
            <v>-11829.56</v>
          </cell>
          <cell r="AQ397">
            <v>10166.83</v>
          </cell>
          <cell r="AR397">
            <v>9936.0400000000009</v>
          </cell>
          <cell r="AS397">
            <v>-28122.73</v>
          </cell>
          <cell r="AT397">
            <v>8280.66</v>
          </cell>
          <cell r="AU397">
            <v>8878.0300000000007</v>
          </cell>
          <cell r="AV397">
            <v>-22618.86</v>
          </cell>
          <cell r="AW397">
            <v>9151.5400000000009</v>
          </cell>
          <cell r="AX397">
            <v>9271.7199999999993</v>
          </cell>
          <cell r="AY397">
            <v>-18955.150000000001</v>
          </cell>
          <cell r="AZ397">
            <v>10208.84</v>
          </cell>
          <cell r="BA397">
            <v>10407.25</v>
          </cell>
          <cell r="BB397">
            <v>-15805.83</v>
          </cell>
          <cell r="BC397">
            <v>5605.47</v>
          </cell>
          <cell r="BD397">
            <v>8735.6</v>
          </cell>
          <cell r="BE397">
            <v>-17950.650000000001</v>
          </cell>
          <cell r="BF397">
            <v>9814.2800000000007</v>
          </cell>
          <cell r="BG397">
            <v>8938.8799999999992</v>
          </cell>
          <cell r="BH397">
            <v>-21262.97</v>
          </cell>
          <cell r="BI397">
            <v>6807.3</v>
          </cell>
          <cell r="BJ397">
            <v>7059.66</v>
          </cell>
          <cell r="BK397">
            <v>-29545.98</v>
          </cell>
          <cell r="BL397">
            <v>8822.91</v>
          </cell>
          <cell r="BM397">
            <v>9436.08</v>
          </cell>
          <cell r="BN397">
            <v>-8070.34</v>
          </cell>
          <cell r="BO397">
            <v>9894.41</v>
          </cell>
          <cell r="BP397">
            <v>8531.5</v>
          </cell>
          <cell r="BQ397">
            <v>-18208.68</v>
          </cell>
          <cell r="BR397">
            <v>10065.01</v>
          </cell>
          <cell r="BS397">
            <v>16888.34</v>
          </cell>
          <cell r="BT397">
            <v>-21670.73</v>
          </cell>
          <cell r="BU397">
            <v>10886.07</v>
          </cell>
          <cell r="BV397">
            <v>10370.44</v>
          </cell>
          <cell r="BW397">
            <v>-23485.56</v>
          </cell>
          <cell r="BX397">
            <v>13616.79</v>
          </cell>
          <cell r="BY397">
            <v>12277.33</v>
          </cell>
          <cell r="BZ397">
            <v>-15205.34</v>
          </cell>
          <cell r="CA397">
            <v>14614.82</v>
          </cell>
          <cell r="CB397">
            <v>15834.38</v>
          </cell>
          <cell r="CC397">
            <v>17126.759999999998</v>
          </cell>
          <cell r="CD397">
            <v>14698.75</v>
          </cell>
          <cell r="CE397">
            <v>15862.8</v>
          </cell>
          <cell r="CF397">
            <v>-57659.77</v>
          </cell>
          <cell r="CG397">
            <v>12249.31</v>
          </cell>
          <cell r="CH397">
            <v>9261.9699999999993</v>
          </cell>
          <cell r="CI397">
            <v>-74632.42</v>
          </cell>
          <cell r="CJ397">
            <v>13350.24</v>
          </cell>
          <cell r="CK397">
            <v>14370.08</v>
          </cell>
          <cell r="CL397">
            <v>-15509.04</v>
          </cell>
          <cell r="CM397">
            <v>13723.35</v>
          </cell>
          <cell r="CN397">
            <v>9425.43</v>
          </cell>
          <cell r="CO397">
            <v>-18678.78</v>
          </cell>
          <cell r="CP397">
            <v>10472.14</v>
          </cell>
          <cell r="CQ397">
            <v>11550.68</v>
          </cell>
          <cell r="CR397">
            <v>-20208.849999999999</v>
          </cell>
          <cell r="CS397">
            <v>10807.71</v>
          </cell>
          <cell r="CT397">
            <v>3566.94</v>
          </cell>
          <cell r="CU397">
            <v>-14497.36</v>
          </cell>
          <cell r="CV397">
            <v>6682.02</v>
          </cell>
          <cell r="CW397">
            <v>10578.43</v>
          </cell>
          <cell r="CX397">
            <v>-2041.24</v>
          </cell>
          <cell r="CY397">
            <v>9491.1299999999992</v>
          </cell>
          <cell r="CZ397">
            <v>13266.14</v>
          </cell>
          <cell r="DA397">
            <v>10540.15</v>
          </cell>
          <cell r="DB397">
            <v>18354.13</v>
          </cell>
          <cell r="DC397">
            <v>22334.5</v>
          </cell>
          <cell r="DD397">
            <v>24080.48</v>
          </cell>
          <cell r="DE397">
            <v>11245.49</v>
          </cell>
          <cell r="DF397">
            <v>15648.63</v>
          </cell>
          <cell r="DG397">
            <v>-163025.9</v>
          </cell>
          <cell r="DH397">
            <v>-22846.040000000008</v>
          </cell>
        </row>
        <row r="398">
          <cell r="A398" t="str">
            <v>8000410</v>
          </cell>
          <cell r="B398" t="str">
            <v>8000410</v>
          </cell>
          <cell r="C398" t="str">
            <v>SIT Expense ATL</v>
          </cell>
          <cell r="D398">
            <v>246936.25</v>
          </cell>
          <cell r="E398">
            <v>331252.8</v>
          </cell>
          <cell r="F398">
            <v>356119.49</v>
          </cell>
          <cell r="G398">
            <v>139713.94</v>
          </cell>
          <cell r="H398">
            <v>131286.22</v>
          </cell>
          <cell r="I398">
            <v>64089.69</v>
          </cell>
          <cell r="J398">
            <v>1013.93</v>
          </cell>
          <cell r="K398">
            <v>-40544.04</v>
          </cell>
          <cell r="L398">
            <v>-91349.66</v>
          </cell>
          <cell r="M398">
            <v>39467.040000000001</v>
          </cell>
          <cell r="N398">
            <v>-402265.84</v>
          </cell>
          <cell r="O398">
            <v>-90061.24</v>
          </cell>
          <cell r="P398">
            <v>419238.6</v>
          </cell>
          <cell r="Q398">
            <v>130565.53</v>
          </cell>
          <cell r="R398">
            <v>311352.05</v>
          </cell>
          <cell r="S398">
            <v>81850.61</v>
          </cell>
          <cell r="T398">
            <v>56515.95</v>
          </cell>
          <cell r="U398">
            <v>125848.32000000001</v>
          </cell>
          <cell r="V398">
            <v>76634.19</v>
          </cell>
          <cell r="W398">
            <v>78155.039999999994</v>
          </cell>
          <cell r="X398">
            <v>37153.050000000003</v>
          </cell>
          <cell r="Y398">
            <v>-131913.56</v>
          </cell>
          <cell r="Z398">
            <v>-117171.5</v>
          </cell>
          <cell r="AA398">
            <v>-305338.65999999997</v>
          </cell>
          <cell r="AB398">
            <v>335589.12</v>
          </cell>
          <cell r="AC398">
            <v>434852.62</v>
          </cell>
          <cell r="AD398">
            <v>173922.6</v>
          </cell>
          <cell r="AE398">
            <v>97480.81</v>
          </cell>
          <cell r="AF398">
            <v>46041.61</v>
          </cell>
          <cell r="AG398">
            <v>181018.72</v>
          </cell>
          <cell r="AH398">
            <v>55717.62</v>
          </cell>
          <cell r="AI398">
            <v>-131911.20000000001</v>
          </cell>
          <cell r="AJ398">
            <v>-4131.18</v>
          </cell>
          <cell r="AK398">
            <v>-107642.59</v>
          </cell>
          <cell r="AL398">
            <v>-36502.57</v>
          </cell>
          <cell r="AM398">
            <v>18680.599999999999</v>
          </cell>
          <cell r="AN398">
            <v>291319.28000000003</v>
          </cell>
          <cell r="AO398">
            <v>-89711.28</v>
          </cell>
          <cell r="AP398">
            <v>155003.29999999999</v>
          </cell>
          <cell r="AQ398">
            <v>115549.96</v>
          </cell>
          <cell r="AR398">
            <v>-137769.22</v>
          </cell>
          <cell r="AS398">
            <v>-106603.75</v>
          </cell>
          <cell r="AT398">
            <v>-108144</v>
          </cell>
          <cell r="AU398">
            <v>-115157.99</v>
          </cell>
          <cell r="AV398">
            <v>45059.81</v>
          </cell>
          <cell r="AW398">
            <v>-255798.08</v>
          </cell>
          <cell r="AX398">
            <v>-114515.62</v>
          </cell>
          <cell r="AY398">
            <v>297299.46000000002</v>
          </cell>
          <cell r="AZ398">
            <v>595955.29</v>
          </cell>
          <cell r="BA398">
            <v>-18145.72</v>
          </cell>
          <cell r="BB398">
            <v>95284.3</v>
          </cell>
          <cell r="BC398">
            <v>178537.3</v>
          </cell>
          <cell r="BD398">
            <v>-50201.8</v>
          </cell>
          <cell r="BE398">
            <v>12069.03</v>
          </cell>
          <cell r="BF398">
            <v>-58615.75</v>
          </cell>
          <cell r="BG398">
            <v>30518.68</v>
          </cell>
          <cell r="BH398">
            <v>38706.65</v>
          </cell>
          <cell r="BI398">
            <v>-131975.07</v>
          </cell>
          <cell r="BJ398">
            <v>-95156.160000000003</v>
          </cell>
          <cell r="BK398">
            <v>-548193.18000000005</v>
          </cell>
          <cell r="BL398">
            <v>284517.39</v>
          </cell>
          <cell r="BM398">
            <v>-123812.1</v>
          </cell>
          <cell r="BN398">
            <v>135917.76999999999</v>
          </cell>
          <cell r="BO398">
            <v>5255.78</v>
          </cell>
          <cell r="BP398">
            <v>-55131.45</v>
          </cell>
          <cell r="BQ398">
            <v>-74213.570000000007</v>
          </cell>
          <cell r="BR398">
            <v>-118675.85</v>
          </cell>
          <cell r="BS398">
            <v>-123321.18</v>
          </cell>
          <cell r="BT398">
            <v>-63739.12</v>
          </cell>
          <cell r="BU398">
            <v>-76467.08</v>
          </cell>
          <cell r="BV398">
            <v>-9569.98</v>
          </cell>
          <cell r="BW398">
            <v>-117447.52</v>
          </cell>
          <cell r="BX398">
            <v>474043.05</v>
          </cell>
          <cell r="BY398">
            <v>-457560.88</v>
          </cell>
          <cell r="BZ398">
            <v>2987.09</v>
          </cell>
          <cell r="CA398">
            <v>-55024.3</v>
          </cell>
          <cell r="CB398">
            <v>-152822.39000000001</v>
          </cell>
          <cell r="CC398">
            <v>-83612.59</v>
          </cell>
          <cell r="CD398">
            <v>-171268.72</v>
          </cell>
          <cell r="CE398">
            <v>-47658.54</v>
          </cell>
          <cell r="CF398">
            <v>-112401.54</v>
          </cell>
          <cell r="CG398">
            <v>-399432.42</v>
          </cell>
          <cell r="CH398">
            <v>-51678.89</v>
          </cell>
          <cell r="CI398">
            <v>-143363.22</v>
          </cell>
          <cell r="CJ398">
            <v>437579.17</v>
          </cell>
          <cell r="CK398">
            <v>128664.03</v>
          </cell>
          <cell r="CL398">
            <v>-158316.62</v>
          </cell>
          <cell r="CM398">
            <v>106784.36</v>
          </cell>
          <cell r="CN398">
            <v>-126817.7</v>
          </cell>
          <cell r="CO398">
            <v>288917.15999999997</v>
          </cell>
          <cell r="CP398">
            <v>-135063.19</v>
          </cell>
          <cell r="CQ398">
            <v>38988.949999999997</v>
          </cell>
          <cell r="CR398">
            <v>59786.34</v>
          </cell>
          <cell r="CS398">
            <v>-305954.93</v>
          </cell>
          <cell r="CT398">
            <v>-301006.5</v>
          </cell>
          <cell r="CU398">
            <v>691135.72</v>
          </cell>
          <cell r="CV398">
            <v>558856.85</v>
          </cell>
          <cell r="CW398">
            <v>687662.19</v>
          </cell>
          <cell r="CX398">
            <v>-7547.64</v>
          </cell>
          <cell r="CY398">
            <v>193698.94</v>
          </cell>
          <cell r="CZ398">
            <v>35850.639999999999</v>
          </cell>
          <cell r="DA398">
            <v>10069.18</v>
          </cell>
          <cell r="DB398">
            <v>-112678.64</v>
          </cell>
          <cell r="DC398">
            <v>-806278.7</v>
          </cell>
          <cell r="DD398">
            <v>112416.65</v>
          </cell>
          <cell r="DE398">
            <v>-190021.24</v>
          </cell>
          <cell r="DF398">
            <v>-60749.69</v>
          </cell>
          <cell r="DG398">
            <v>39721.730000000003</v>
          </cell>
          <cell r="DH398">
            <v>461000.27000000008</v>
          </cell>
        </row>
        <row r="399">
          <cell r="A399" t="str">
            <v>8010300</v>
          </cell>
          <cell r="B399" t="str">
            <v>8010300</v>
          </cell>
          <cell r="C399" t="str">
            <v>DIT Federal</v>
          </cell>
          <cell r="D399">
            <v>601431.35</v>
          </cell>
          <cell r="E399">
            <v>-340098.17</v>
          </cell>
          <cell r="F399">
            <v>-180250.75</v>
          </cell>
          <cell r="G399">
            <v>139483.21</v>
          </cell>
          <cell r="H399">
            <v>-403728.33</v>
          </cell>
          <cell r="I399">
            <v>229881.63</v>
          </cell>
          <cell r="J399">
            <v>249049.21</v>
          </cell>
          <cell r="K399">
            <v>486417.48</v>
          </cell>
          <cell r="L399">
            <v>2134507.46</v>
          </cell>
          <cell r="M399">
            <v>-518009.56</v>
          </cell>
          <cell r="N399">
            <v>2428029.71</v>
          </cell>
          <cell r="O399">
            <v>7917193.0999999996</v>
          </cell>
          <cell r="P399">
            <v>-318017.55</v>
          </cell>
          <cell r="Q399">
            <v>1219867.56</v>
          </cell>
          <cell r="R399">
            <v>-277916.02</v>
          </cell>
          <cell r="S399">
            <v>182932.81</v>
          </cell>
          <cell r="T399">
            <v>231193.94</v>
          </cell>
          <cell r="U399">
            <v>16201.45</v>
          </cell>
          <cell r="V399">
            <v>-106908.68</v>
          </cell>
          <cell r="W399">
            <v>501851.87</v>
          </cell>
          <cell r="X399">
            <v>1294302.71</v>
          </cell>
          <cell r="Y399">
            <v>1331940.01</v>
          </cell>
          <cell r="Z399">
            <v>1026352.68</v>
          </cell>
          <cell r="AA399">
            <v>10478245.810000001</v>
          </cell>
          <cell r="AB399">
            <v>809880.79</v>
          </cell>
          <cell r="AC399">
            <v>247877.75</v>
          </cell>
          <cell r="AD399">
            <v>867099.94</v>
          </cell>
          <cell r="AE399">
            <v>1067455.97</v>
          </cell>
          <cell r="AF399">
            <v>1191965.99</v>
          </cell>
          <cell r="AG399">
            <v>686745.34</v>
          </cell>
          <cell r="AH399">
            <v>1023221.12</v>
          </cell>
          <cell r="AI399">
            <v>1063533.6100000001</v>
          </cell>
          <cell r="AJ399">
            <v>-259208.13</v>
          </cell>
          <cell r="AK399">
            <v>1537485.19</v>
          </cell>
          <cell r="AL399">
            <v>1737134.91</v>
          </cell>
          <cell r="AM399">
            <v>1035457.41</v>
          </cell>
          <cell r="AN399">
            <v>864440.96</v>
          </cell>
          <cell r="AO399">
            <v>2403821.2599999998</v>
          </cell>
          <cell r="AP399">
            <v>2323297.88</v>
          </cell>
          <cell r="AQ399">
            <v>1539277.84</v>
          </cell>
          <cell r="AR399">
            <v>2473119.4300000002</v>
          </cell>
          <cell r="AS399">
            <v>2233308.4500000002</v>
          </cell>
          <cell r="AT399">
            <v>2181436.9700000002</v>
          </cell>
          <cell r="AU399">
            <v>2126525.64</v>
          </cell>
          <cell r="AV399">
            <v>-93314.22</v>
          </cell>
          <cell r="AW399">
            <v>2990531.82</v>
          </cell>
          <cell r="AX399">
            <v>2538493.4700000002</v>
          </cell>
          <cell r="AY399">
            <v>-2592723.4</v>
          </cell>
          <cell r="AZ399">
            <v>-460859.54</v>
          </cell>
          <cell r="BA399">
            <v>485845.47</v>
          </cell>
          <cell r="BB399">
            <v>-271377.28999999998</v>
          </cell>
          <cell r="BC399">
            <v>60330.9</v>
          </cell>
          <cell r="BD399">
            <v>678325.23</v>
          </cell>
          <cell r="BE399">
            <v>321863.56</v>
          </cell>
          <cell r="BF399">
            <v>463731.76</v>
          </cell>
          <cell r="BG399">
            <v>1485382.46</v>
          </cell>
          <cell r="BH399">
            <v>593924.77</v>
          </cell>
          <cell r="BI399">
            <v>850042.59</v>
          </cell>
          <cell r="BJ399">
            <v>4118779.12</v>
          </cell>
          <cell r="BK399">
            <v>-823941.81</v>
          </cell>
          <cell r="BL399">
            <v>68671.67</v>
          </cell>
          <cell r="BM399">
            <v>1484860.2</v>
          </cell>
          <cell r="BN399">
            <v>392819.43</v>
          </cell>
          <cell r="BO399">
            <v>736541.22</v>
          </cell>
          <cell r="BP399">
            <v>812273.36</v>
          </cell>
          <cell r="BQ399">
            <v>782803.12</v>
          </cell>
          <cell r="BR399">
            <v>630321</v>
          </cell>
          <cell r="BS399">
            <v>817032.89</v>
          </cell>
          <cell r="BT399">
            <v>836254.99</v>
          </cell>
          <cell r="BU399">
            <v>653655.13</v>
          </cell>
          <cell r="BV399">
            <v>611872.72</v>
          </cell>
          <cell r="BW399">
            <v>1079555.81</v>
          </cell>
          <cell r="BX399">
            <v>-631577.49</v>
          </cell>
          <cell r="BY399">
            <v>3018437.29</v>
          </cell>
          <cell r="BZ399">
            <v>704420.91</v>
          </cell>
          <cell r="CA399">
            <v>609992.89</v>
          </cell>
          <cell r="CB399">
            <v>981721.43</v>
          </cell>
          <cell r="CC399">
            <v>682951.61</v>
          </cell>
          <cell r="CD399">
            <v>979308.57</v>
          </cell>
          <cell r="CE399">
            <v>804395.51</v>
          </cell>
          <cell r="CF399">
            <v>914094.15</v>
          </cell>
          <cell r="CG399">
            <v>1439769.25</v>
          </cell>
          <cell r="CH399">
            <v>1031831.2</v>
          </cell>
          <cell r="CI399">
            <v>597169.56999999995</v>
          </cell>
          <cell r="CJ399">
            <v>489057.52</v>
          </cell>
          <cell r="CK399">
            <v>903008.8</v>
          </cell>
          <cell r="CL399">
            <v>2281521.73</v>
          </cell>
          <cell r="CM399">
            <v>1056414.75</v>
          </cell>
          <cell r="CN399">
            <v>1493447.01</v>
          </cell>
          <cell r="CO399">
            <v>-297314.15999999997</v>
          </cell>
          <cell r="CP399">
            <v>1259845.01</v>
          </cell>
          <cell r="CQ399">
            <v>533518.21</v>
          </cell>
          <cell r="CR399">
            <v>-138782.72</v>
          </cell>
          <cell r="CS399">
            <v>2485946.89</v>
          </cell>
          <cell r="CT399">
            <v>3206747.95</v>
          </cell>
          <cell r="CU399">
            <v>-2512668.58</v>
          </cell>
          <cell r="CV399">
            <v>310140.37</v>
          </cell>
          <cell r="CW399">
            <v>-458666.62</v>
          </cell>
          <cell r="CX399">
            <v>2283214.21</v>
          </cell>
          <cell r="CY399">
            <v>756324.41</v>
          </cell>
          <cell r="CZ399">
            <v>1168937.52</v>
          </cell>
          <cell r="DA399">
            <v>1441749</v>
          </cell>
          <cell r="DB399">
            <v>1124951.22</v>
          </cell>
          <cell r="DC399">
            <v>3880424.73</v>
          </cell>
          <cell r="DD399">
            <v>1097356.04</v>
          </cell>
          <cell r="DE399">
            <v>1656245.1</v>
          </cell>
          <cell r="DF399">
            <v>1441331.4</v>
          </cell>
          <cell r="DG399">
            <v>2102772.2999999998</v>
          </cell>
          <cell r="DH399">
            <v>16804779.68</v>
          </cell>
        </row>
        <row r="400">
          <cell r="A400" t="str">
            <v>8010305</v>
          </cell>
          <cell r="B400" t="str">
            <v>8010305</v>
          </cell>
          <cell r="C400" t="str">
            <v>DIT Fed NonUtility</v>
          </cell>
          <cell r="AK400">
            <v>0</v>
          </cell>
          <cell r="AL400">
            <v>0</v>
          </cell>
          <cell r="AM400">
            <v>-6.32</v>
          </cell>
          <cell r="AN400">
            <v>0</v>
          </cell>
          <cell r="AO400">
            <v>0</v>
          </cell>
          <cell r="AP400">
            <v>6.32</v>
          </cell>
          <cell r="AQ400">
            <v>0</v>
          </cell>
          <cell r="AR400">
            <v>0</v>
          </cell>
          <cell r="AS400">
            <v>0</v>
          </cell>
          <cell r="AT400">
            <v>0</v>
          </cell>
          <cell r="AU400">
            <v>0</v>
          </cell>
          <cell r="AV400">
            <v>0</v>
          </cell>
          <cell r="AW400">
            <v>18.8</v>
          </cell>
          <cell r="AX400">
            <v>-18.8</v>
          </cell>
          <cell r="AY400">
            <v>0</v>
          </cell>
          <cell r="AZ400">
            <v>0</v>
          </cell>
          <cell r="BA400">
            <v>0</v>
          </cell>
          <cell r="BB400">
            <v>0</v>
          </cell>
          <cell r="BC400">
            <v>0</v>
          </cell>
          <cell r="BD400">
            <v>0</v>
          </cell>
          <cell r="BE400">
            <v>20.91</v>
          </cell>
          <cell r="BF400">
            <v>309.99</v>
          </cell>
          <cell r="BG400">
            <v>-69.38</v>
          </cell>
          <cell r="BH400">
            <v>339.16</v>
          </cell>
          <cell r="BI400">
            <v>-482.03</v>
          </cell>
          <cell r="BJ400">
            <v>-301.77999999999997</v>
          </cell>
          <cell r="BK400">
            <v>-585.22</v>
          </cell>
          <cell r="BL400">
            <v>806.18</v>
          </cell>
          <cell r="BM400">
            <v>-78.36</v>
          </cell>
          <cell r="BN400">
            <v>0</v>
          </cell>
          <cell r="BO400">
            <v>-1210.69</v>
          </cell>
          <cell r="BP400">
            <v>-477.01</v>
          </cell>
          <cell r="BQ400">
            <v>1425.55</v>
          </cell>
          <cell r="BR400">
            <v>1192.77</v>
          </cell>
          <cell r="BS400">
            <v>-885.14</v>
          </cell>
          <cell r="BT400">
            <v>-14.88</v>
          </cell>
          <cell r="BU400">
            <v>-39.35</v>
          </cell>
          <cell r="BV400">
            <v>82.34</v>
          </cell>
          <cell r="BW400">
            <v>14.49</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cell r="CQ400">
            <v>0</v>
          </cell>
          <cell r="CR400">
            <v>0</v>
          </cell>
          <cell r="CS400">
            <v>0</v>
          </cell>
          <cell r="CT400">
            <v>0</v>
          </cell>
          <cell r="CU400">
            <v>0</v>
          </cell>
          <cell r="CV400">
            <v>0</v>
          </cell>
          <cell r="CW400">
            <v>0</v>
          </cell>
          <cell r="CX400">
            <v>0</v>
          </cell>
          <cell r="CY400">
            <v>0</v>
          </cell>
          <cell r="CZ400">
            <v>0</v>
          </cell>
          <cell r="DA400">
            <v>0</v>
          </cell>
          <cell r="DB400">
            <v>0</v>
          </cell>
          <cell r="DC400">
            <v>0</v>
          </cell>
          <cell r="DD400">
            <v>0</v>
          </cell>
          <cell r="DE400">
            <v>0</v>
          </cell>
          <cell r="DF400">
            <v>0</v>
          </cell>
          <cell r="DG400">
            <v>0</v>
          </cell>
          <cell r="DH400">
            <v>0</v>
          </cell>
        </row>
        <row r="401">
          <cell r="A401" t="str">
            <v>8010400</v>
          </cell>
          <cell r="B401" t="str">
            <v>8010400</v>
          </cell>
          <cell r="C401" t="str">
            <v>DIT State</v>
          </cell>
          <cell r="D401">
            <v>196359.22</v>
          </cell>
          <cell r="E401">
            <v>39793.47</v>
          </cell>
          <cell r="F401">
            <v>66374.27</v>
          </cell>
          <cell r="G401">
            <v>119542.46</v>
          </cell>
          <cell r="H401">
            <v>29212.48</v>
          </cell>
          <cell r="I401">
            <v>134574.67000000001</v>
          </cell>
          <cell r="J401">
            <v>137762.01</v>
          </cell>
          <cell r="K401">
            <v>177233.73</v>
          </cell>
          <cell r="L401">
            <v>208491.53</v>
          </cell>
          <cell r="M401">
            <v>151580.03</v>
          </cell>
          <cell r="N401">
            <v>641473.15</v>
          </cell>
          <cell r="O401">
            <v>419728.77</v>
          </cell>
          <cell r="P401">
            <v>42104.5</v>
          </cell>
          <cell r="Q401">
            <v>297837.48</v>
          </cell>
          <cell r="R401">
            <v>48772.91</v>
          </cell>
          <cell r="S401">
            <v>125406.91</v>
          </cell>
          <cell r="T401">
            <v>133432.20000000001</v>
          </cell>
          <cell r="U401">
            <v>97681.33</v>
          </cell>
          <cell r="V401">
            <v>77209.539999999994</v>
          </cell>
          <cell r="W401">
            <v>-653800.67000000004</v>
          </cell>
          <cell r="X401">
            <v>122897.23</v>
          </cell>
          <cell r="Y401">
            <v>314824.95</v>
          </cell>
          <cell r="Z401">
            <v>264009.19</v>
          </cell>
          <cell r="AA401">
            <v>483521.98</v>
          </cell>
          <cell r="AB401">
            <v>113894.09</v>
          </cell>
          <cell r="AC401">
            <v>20439.34</v>
          </cell>
          <cell r="AD401">
            <v>123409</v>
          </cell>
          <cell r="AE401">
            <v>156725.97</v>
          </cell>
          <cell r="AF401">
            <v>177430.57</v>
          </cell>
          <cell r="AG401">
            <v>28789.91</v>
          </cell>
          <cell r="AH401">
            <v>149370.19</v>
          </cell>
          <cell r="AI401">
            <v>235349.9</v>
          </cell>
          <cell r="AJ401">
            <v>128551.98</v>
          </cell>
          <cell r="AK401">
            <v>254737.94</v>
          </cell>
          <cell r="AL401">
            <v>287937.40000000002</v>
          </cell>
          <cell r="AM401">
            <v>241303.67999999999</v>
          </cell>
          <cell r="AN401">
            <v>143350.70000000001</v>
          </cell>
          <cell r="AO401">
            <v>399332.31</v>
          </cell>
          <cell r="AP401">
            <v>237954.95</v>
          </cell>
          <cell r="AQ401">
            <v>206239.43</v>
          </cell>
          <cell r="AR401">
            <v>431870.81</v>
          </cell>
          <cell r="AS401">
            <v>335717.67</v>
          </cell>
          <cell r="AT401">
            <v>327092.03999999998</v>
          </cell>
          <cell r="AU401">
            <v>317960.95</v>
          </cell>
          <cell r="AV401">
            <v>195343.67</v>
          </cell>
          <cell r="AW401">
            <v>461635.45</v>
          </cell>
          <cell r="AX401">
            <v>386466.48</v>
          </cell>
          <cell r="AY401">
            <v>172911.72</v>
          </cell>
          <cell r="AZ401">
            <v>36369.86</v>
          </cell>
          <cell r="BA401">
            <v>298509.11</v>
          </cell>
          <cell r="BB401">
            <v>39883.949999999997</v>
          </cell>
          <cell r="BC401">
            <v>164399.89000000001</v>
          </cell>
          <cell r="BD401">
            <v>240688.29</v>
          </cell>
          <cell r="BE401">
            <v>217888.8</v>
          </cell>
          <cell r="BF401">
            <v>257207.31</v>
          </cell>
          <cell r="BG401">
            <v>134071.12</v>
          </cell>
          <cell r="BH401">
            <v>242504.33</v>
          </cell>
          <cell r="BI401">
            <v>313486.96999999997</v>
          </cell>
          <cell r="BJ401">
            <v>338900.24</v>
          </cell>
          <cell r="BK401">
            <v>937270.41</v>
          </cell>
          <cell r="BL401">
            <v>177768.99</v>
          </cell>
          <cell r="BM401">
            <v>531605.23</v>
          </cell>
          <cell r="BN401">
            <v>248277.12</v>
          </cell>
          <cell r="BO401">
            <v>343538.97</v>
          </cell>
          <cell r="BP401">
            <v>364527.93</v>
          </cell>
          <cell r="BQ401">
            <v>356360.3</v>
          </cell>
          <cell r="BR401">
            <v>314100.19</v>
          </cell>
          <cell r="BS401">
            <v>356875.52000000002</v>
          </cell>
          <cell r="BT401">
            <v>-237242.75</v>
          </cell>
          <cell r="BU401">
            <v>256237.42</v>
          </cell>
          <cell r="BV401">
            <v>246948.52</v>
          </cell>
          <cell r="BW401">
            <v>372716.4</v>
          </cell>
          <cell r="BX401">
            <v>-46571.41</v>
          </cell>
          <cell r="BY401">
            <v>764964.42</v>
          </cell>
          <cell r="BZ401">
            <v>278736.42</v>
          </cell>
          <cell r="CA401">
            <v>230162.76</v>
          </cell>
          <cell r="CB401">
            <v>312740.11</v>
          </cell>
          <cell r="CC401">
            <v>228838.43</v>
          </cell>
          <cell r="CD401">
            <v>312119.86</v>
          </cell>
          <cell r="CE401">
            <v>214714.22</v>
          </cell>
          <cell r="CF401">
            <v>345903.41</v>
          </cell>
          <cell r="CG401">
            <v>503515.61</v>
          </cell>
          <cell r="CH401">
            <v>320124.3</v>
          </cell>
          <cell r="CI401">
            <v>482240.87</v>
          </cell>
          <cell r="CJ401">
            <v>186365.09</v>
          </cell>
          <cell r="CK401">
            <v>286372.7</v>
          </cell>
          <cell r="CL401">
            <v>472758.22</v>
          </cell>
          <cell r="CM401">
            <v>299226.93</v>
          </cell>
          <cell r="CN401">
            <v>408082.34</v>
          </cell>
          <cell r="CO401">
            <v>-98599.99</v>
          </cell>
          <cell r="CP401">
            <v>357778.66</v>
          </cell>
          <cell r="CQ401">
            <v>196131.78</v>
          </cell>
          <cell r="CR401">
            <v>-608284.18000000005</v>
          </cell>
          <cell r="CS401">
            <v>540696.63</v>
          </cell>
          <cell r="CT401">
            <v>594384.49</v>
          </cell>
          <cell r="CU401">
            <v>-103859.52</v>
          </cell>
          <cell r="CV401">
            <v>137849.38</v>
          </cell>
          <cell r="CW401">
            <v>-74828.75</v>
          </cell>
          <cell r="CX401">
            <v>751150.01</v>
          </cell>
          <cell r="CY401">
            <v>262495.46000000002</v>
          </cell>
          <cell r="CZ401">
            <v>377642.91</v>
          </cell>
          <cell r="DA401">
            <v>190475.02</v>
          </cell>
          <cell r="DB401">
            <v>366067.01</v>
          </cell>
          <cell r="DC401">
            <v>1098791.18</v>
          </cell>
          <cell r="DD401">
            <v>353425.09</v>
          </cell>
          <cell r="DE401">
            <v>509619.56</v>
          </cell>
          <cell r="DF401">
            <v>449365.76000000001</v>
          </cell>
          <cell r="DG401">
            <v>308201.89</v>
          </cell>
          <cell r="DH401">
            <v>4730254.5199999996</v>
          </cell>
        </row>
        <row r="402">
          <cell r="A402" t="str">
            <v>8010405</v>
          </cell>
          <cell r="B402" t="str">
            <v>8010405</v>
          </cell>
          <cell r="C402" t="str">
            <v>DIT State NonUtil</v>
          </cell>
          <cell r="AK402">
            <v>0</v>
          </cell>
          <cell r="AL402">
            <v>0</v>
          </cell>
          <cell r="AM402">
            <v>-1.05</v>
          </cell>
          <cell r="AN402">
            <v>0</v>
          </cell>
          <cell r="AO402">
            <v>0</v>
          </cell>
          <cell r="AP402">
            <v>1.05</v>
          </cell>
          <cell r="AQ402">
            <v>0</v>
          </cell>
          <cell r="AR402">
            <v>0</v>
          </cell>
          <cell r="AS402">
            <v>0</v>
          </cell>
          <cell r="AT402">
            <v>0</v>
          </cell>
          <cell r="AU402">
            <v>0</v>
          </cell>
          <cell r="AV402">
            <v>0</v>
          </cell>
          <cell r="AW402">
            <v>3.13</v>
          </cell>
          <cell r="AX402">
            <v>-3.13</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cell r="CQ402">
            <v>0</v>
          </cell>
          <cell r="CR402">
            <v>0</v>
          </cell>
          <cell r="CS402">
            <v>0</v>
          </cell>
          <cell r="CT402">
            <v>0</v>
          </cell>
          <cell r="CU402">
            <v>0</v>
          </cell>
          <cell r="CV402">
            <v>0</v>
          </cell>
          <cell r="CW402">
            <v>0</v>
          </cell>
          <cell r="CX402">
            <v>0</v>
          </cell>
          <cell r="CY402">
            <v>0</v>
          </cell>
          <cell r="CZ402">
            <v>0</v>
          </cell>
          <cell r="DA402">
            <v>0</v>
          </cell>
          <cell r="DB402">
            <v>0</v>
          </cell>
          <cell r="DC402">
            <v>0</v>
          </cell>
          <cell r="DD402">
            <v>0</v>
          </cell>
          <cell r="DE402">
            <v>0</v>
          </cell>
          <cell r="DF402">
            <v>0</v>
          </cell>
          <cell r="DG402">
            <v>0</v>
          </cell>
          <cell r="DH402">
            <v>0</v>
          </cell>
        </row>
        <row r="403">
          <cell r="A403" t="str">
            <v>8010600</v>
          </cell>
          <cell r="B403" t="str">
            <v>8010600</v>
          </cell>
          <cell r="C403" t="str">
            <v>InvTaxCrAmtz-Util</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1</v>
          </cell>
          <cell r="AC403">
            <v>2</v>
          </cell>
          <cell r="AD403">
            <v>3</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0</v>
          </cell>
          <cell r="BF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cell r="CQ403">
            <v>0</v>
          </cell>
          <cell r="CR403">
            <v>0</v>
          </cell>
          <cell r="CS403">
            <v>0</v>
          </cell>
          <cell r="CT403">
            <v>0</v>
          </cell>
          <cell r="CU403">
            <v>0</v>
          </cell>
          <cell r="CV403">
            <v>0</v>
          </cell>
          <cell r="CW403">
            <v>0</v>
          </cell>
          <cell r="CX403">
            <v>0</v>
          </cell>
          <cell r="CY403">
            <v>0</v>
          </cell>
          <cell r="CZ403">
            <v>0</v>
          </cell>
          <cell r="DA403">
            <v>0</v>
          </cell>
          <cell r="DB403">
            <v>0</v>
          </cell>
          <cell r="DC403">
            <v>0</v>
          </cell>
          <cell r="DD403">
            <v>0</v>
          </cell>
          <cell r="DE403">
            <v>0</v>
          </cell>
          <cell r="DF403">
            <v>0</v>
          </cell>
          <cell r="DG403">
            <v>0</v>
          </cell>
          <cell r="DH403">
            <v>0</v>
          </cell>
        </row>
        <row r="404">
          <cell r="A404">
            <v>8900100</v>
          </cell>
          <cell r="B404">
            <v>8900100</v>
          </cell>
          <cell r="C404" t="str">
            <v>FICO Recon</v>
          </cell>
          <cell r="CS404">
            <v>0</v>
          </cell>
          <cell r="CT404">
            <v>0</v>
          </cell>
          <cell r="CU404">
            <v>0</v>
          </cell>
          <cell r="CV404">
            <v>0</v>
          </cell>
          <cell r="CW404">
            <v>0</v>
          </cell>
          <cell r="CX404">
            <v>0</v>
          </cell>
          <cell r="CY404">
            <v>0</v>
          </cell>
          <cell r="CZ404">
            <v>0</v>
          </cell>
          <cell r="DA404">
            <v>0</v>
          </cell>
          <cell r="DB404">
            <v>0</v>
          </cell>
          <cell r="DC404">
            <v>0</v>
          </cell>
          <cell r="DD404">
            <v>0</v>
          </cell>
          <cell r="DE404">
            <v>415.77</v>
          </cell>
          <cell r="DF404">
            <v>0</v>
          </cell>
          <cell r="DG404">
            <v>0</v>
          </cell>
          <cell r="DH404">
            <v>415.77</v>
          </cell>
        </row>
        <row r="405">
          <cell r="A405" t="str">
            <v>8900140</v>
          </cell>
          <cell r="B405" t="str">
            <v>8900140</v>
          </cell>
          <cell r="C405" t="str">
            <v>FICO Recon O&amp;M Exp</v>
          </cell>
          <cell r="D405">
            <v>393529.14</v>
          </cell>
          <cell r="E405">
            <v>364102.51</v>
          </cell>
          <cell r="F405">
            <v>430194.33</v>
          </cell>
          <cell r="G405">
            <v>432200.27</v>
          </cell>
          <cell r="H405">
            <v>384387.02</v>
          </cell>
          <cell r="I405">
            <v>383213.38</v>
          </cell>
          <cell r="J405">
            <v>257877.04</v>
          </cell>
          <cell r="K405">
            <v>354853.12</v>
          </cell>
          <cell r="L405">
            <v>302593.39</v>
          </cell>
          <cell r="M405">
            <v>19615.43</v>
          </cell>
          <cell r="N405">
            <v>218344.53</v>
          </cell>
          <cell r="O405">
            <v>292732.93</v>
          </cell>
          <cell r="P405">
            <v>290768.96000000002</v>
          </cell>
          <cell r="Q405">
            <v>258758.54</v>
          </cell>
          <cell r="R405">
            <v>362326.81</v>
          </cell>
          <cell r="S405">
            <v>179762.18</v>
          </cell>
          <cell r="T405">
            <v>-90169.47</v>
          </cell>
          <cell r="U405">
            <v>261459.69</v>
          </cell>
          <cell r="V405">
            <v>197119.3</v>
          </cell>
          <cell r="W405">
            <v>198094.14</v>
          </cell>
          <cell r="X405">
            <v>194922.45</v>
          </cell>
          <cell r="Y405">
            <v>191913.13</v>
          </cell>
          <cell r="Z405">
            <v>180576.23</v>
          </cell>
          <cell r="AA405">
            <v>224267.16</v>
          </cell>
          <cell r="AB405">
            <v>110534.95</v>
          </cell>
          <cell r="AC405">
            <v>75394.14</v>
          </cell>
          <cell r="AD405">
            <v>-45526.62</v>
          </cell>
          <cell r="AE405">
            <v>42171.68</v>
          </cell>
          <cell r="AF405">
            <v>30295.98</v>
          </cell>
          <cell r="AG405">
            <v>3909.26</v>
          </cell>
          <cell r="AH405">
            <v>34897.360000000001</v>
          </cell>
          <cell r="AI405">
            <v>-19185.560000000001</v>
          </cell>
          <cell r="AJ405">
            <v>47052.63</v>
          </cell>
          <cell r="AK405">
            <v>57779.38</v>
          </cell>
          <cell r="AL405">
            <v>17244.41</v>
          </cell>
          <cell r="AM405">
            <v>107574.45</v>
          </cell>
          <cell r="AN405">
            <v>228601.52</v>
          </cell>
          <cell r="AO405">
            <v>475045.16</v>
          </cell>
          <cell r="AP405">
            <v>514588.37</v>
          </cell>
          <cell r="AQ405">
            <v>656471.39</v>
          </cell>
          <cell r="AR405">
            <v>753287.3</v>
          </cell>
          <cell r="AS405">
            <v>922885.54</v>
          </cell>
          <cell r="AT405">
            <v>709726.93</v>
          </cell>
          <cell r="AU405">
            <v>792943.58</v>
          </cell>
          <cell r="AV405">
            <v>601588.66</v>
          </cell>
          <cell r="AW405">
            <v>711156.65</v>
          </cell>
          <cell r="AX405">
            <v>698473.73</v>
          </cell>
          <cell r="AY405">
            <v>829090.79</v>
          </cell>
          <cell r="AZ405">
            <v>819332.05</v>
          </cell>
          <cell r="BA405">
            <v>668461.92000000004</v>
          </cell>
          <cell r="BB405">
            <v>758312.57</v>
          </cell>
          <cell r="BC405">
            <v>705479.92</v>
          </cell>
          <cell r="BD405">
            <v>880272.38</v>
          </cell>
          <cell r="BE405">
            <v>908809.61</v>
          </cell>
          <cell r="BF405">
            <v>699624.9</v>
          </cell>
          <cell r="BG405">
            <v>640161.49</v>
          </cell>
          <cell r="BH405">
            <v>761466.62</v>
          </cell>
          <cell r="BI405">
            <v>850861.15</v>
          </cell>
          <cell r="BJ405">
            <v>941999.13</v>
          </cell>
          <cell r="BK405">
            <v>807324.87</v>
          </cell>
          <cell r="BL405">
            <v>862521.07</v>
          </cell>
          <cell r="BM405">
            <v>850520.63</v>
          </cell>
          <cell r="BN405">
            <v>805015.77</v>
          </cell>
          <cell r="BO405">
            <v>772959.79</v>
          </cell>
          <cell r="BP405">
            <v>1025152.62</v>
          </cell>
          <cell r="BQ405">
            <v>762339.03</v>
          </cell>
          <cell r="BR405">
            <v>731046.56</v>
          </cell>
          <cell r="BS405">
            <v>1002291.65</v>
          </cell>
          <cell r="BT405">
            <v>732021.42</v>
          </cell>
          <cell r="BU405">
            <v>793222.97</v>
          </cell>
          <cell r="BV405">
            <v>763597.07</v>
          </cell>
          <cell r="BW405">
            <v>623950.51</v>
          </cell>
          <cell r="BX405">
            <v>962402.5</v>
          </cell>
          <cell r="BY405">
            <v>956670.89</v>
          </cell>
          <cell r="BZ405">
            <v>1122609.94</v>
          </cell>
          <cell r="CA405">
            <v>1076871.1599999999</v>
          </cell>
          <cell r="CB405">
            <v>1127941.67</v>
          </cell>
          <cell r="CC405">
            <v>996251.95</v>
          </cell>
          <cell r="CD405">
            <v>1185348.46</v>
          </cell>
          <cell r="CE405">
            <v>963314.53</v>
          </cell>
          <cell r="CF405">
            <v>1019287.67</v>
          </cell>
          <cell r="CG405">
            <v>1030500.31</v>
          </cell>
          <cell r="CH405">
            <v>912276.58</v>
          </cell>
          <cell r="CI405">
            <v>1044707.78</v>
          </cell>
          <cell r="CJ405">
            <v>911555.88</v>
          </cell>
          <cell r="CK405">
            <v>853051.48</v>
          </cell>
          <cell r="CL405">
            <v>920678.08</v>
          </cell>
          <cell r="CM405">
            <v>923277.43</v>
          </cell>
          <cell r="CN405">
            <v>891553.5</v>
          </cell>
          <cell r="CO405">
            <v>1161890.75</v>
          </cell>
          <cell r="CP405">
            <v>1084462.8700000001</v>
          </cell>
          <cell r="CQ405">
            <v>1011842.14</v>
          </cell>
          <cell r="CR405">
            <v>948515.42</v>
          </cell>
          <cell r="CS405">
            <v>904534.92</v>
          </cell>
          <cell r="CT405">
            <v>1109844.1499999999</v>
          </cell>
          <cell r="CU405">
            <v>1123805.72</v>
          </cell>
          <cell r="CV405">
            <v>1031957.3</v>
          </cell>
          <cell r="CW405">
            <v>1011325.2</v>
          </cell>
          <cell r="CX405">
            <v>1191462.1200000001</v>
          </cell>
          <cell r="CY405">
            <v>1884597.65</v>
          </cell>
          <cell r="CZ405">
            <v>1387945.06</v>
          </cell>
          <cell r="DA405">
            <v>1861943.85</v>
          </cell>
          <cell r="DB405">
            <v>1368697.51</v>
          </cell>
          <cell r="DC405">
            <v>1671535.71</v>
          </cell>
          <cell r="DD405">
            <v>2000149.4</v>
          </cell>
          <cell r="DE405">
            <v>1478185.19</v>
          </cell>
          <cell r="DF405">
            <v>1731824.38</v>
          </cell>
          <cell r="DG405">
            <v>7432963.4699999997</v>
          </cell>
          <cell r="DH405">
            <v>24052586.839999996</v>
          </cell>
        </row>
        <row r="406">
          <cell r="A406" t="str">
            <v>8900141</v>
          </cell>
          <cell r="B406" t="str">
            <v>8900141</v>
          </cell>
          <cell r="C406" t="str">
            <v>TSI FICO Recon O&amp;M E</v>
          </cell>
          <cell r="AE406">
            <v>102020.69</v>
          </cell>
          <cell r="AF406">
            <v>79772.45</v>
          </cell>
          <cell r="AG406">
            <v>83380.350000000006</v>
          </cell>
          <cell r="AH406">
            <v>82422.69</v>
          </cell>
          <cell r="AI406">
            <v>95192.41</v>
          </cell>
          <cell r="AJ406">
            <v>94678.95</v>
          </cell>
          <cell r="AK406">
            <v>100885.88</v>
          </cell>
          <cell r="AL406">
            <v>119591.64</v>
          </cell>
          <cell r="AM406">
            <v>109692.98</v>
          </cell>
          <cell r="AN406">
            <v>130857.54</v>
          </cell>
          <cell r="AO406">
            <v>117175.82</v>
          </cell>
          <cell r="AP406">
            <v>139071.47</v>
          </cell>
          <cell r="AQ406">
            <v>151231.37</v>
          </cell>
          <cell r="AR406">
            <v>181194.37</v>
          </cell>
          <cell r="AS406">
            <v>176409.58</v>
          </cell>
          <cell r="AT406">
            <v>172869.43</v>
          </cell>
          <cell r="AU406">
            <v>184099.76</v>
          </cell>
          <cell r="AV406">
            <v>144770.89000000001</v>
          </cell>
          <cell r="AW406">
            <v>-27153.72</v>
          </cell>
          <cell r="AX406">
            <v>139592.91</v>
          </cell>
          <cell r="AY406">
            <v>135716.62</v>
          </cell>
          <cell r="AZ406">
            <v>144059.82999999999</v>
          </cell>
          <cell r="BA406">
            <v>133089.49</v>
          </cell>
          <cell r="BB406">
            <v>117978.01</v>
          </cell>
          <cell r="BC406">
            <v>123566.49</v>
          </cell>
          <cell r="BD406">
            <v>138861.49</v>
          </cell>
          <cell r="BE406">
            <v>132391.41</v>
          </cell>
          <cell r="BF406">
            <v>124505.63</v>
          </cell>
          <cell r="BG406">
            <v>123041.9</v>
          </cell>
          <cell r="BH406">
            <v>101616.02</v>
          </cell>
          <cell r="BI406">
            <v>131302.64000000001</v>
          </cell>
          <cell r="BJ406">
            <v>112293.18</v>
          </cell>
          <cell r="BK406">
            <v>109457.15</v>
          </cell>
          <cell r="BL406">
            <v>141982.32</v>
          </cell>
          <cell r="BM406">
            <v>147055.82</v>
          </cell>
          <cell r="BN406">
            <v>157622.89000000001</v>
          </cell>
          <cell r="BO406">
            <v>117473.99</v>
          </cell>
          <cell r="BP406">
            <v>141300.13</v>
          </cell>
          <cell r="BQ406">
            <v>125462.25</v>
          </cell>
          <cell r="BR406">
            <v>178955.98</v>
          </cell>
          <cell r="BS406">
            <v>148865.56</v>
          </cell>
          <cell r="BT406">
            <v>132142.18</v>
          </cell>
          <cell r="BU406">
            <v>179993.05</v>
          </cell>
          <cell r="BV406">
            <v>158930.79999999999</v>
          </cell>
          <cell r="BW406">
            <v>161557.9</v>
          </cell>
          <cell r="BX406">
            <v>0</v>
          </cell>
          <cell r="BY406">
            <v>0</v>
          </cell>
          <cell r="BZ406">
            <v>0</v>
          </cell>
          <cell r="CA406">
            <v>0</v>
          </cell>
          <cell r="CB406">
            <v>0</v>
          </cell>
          <cell r="CC406">
            <v>0</v>
          </cell>
          <cell r="CD406">
            <v>0</v>
          </cell>
          <cell r="CE406">
            <v>0</v>
          </cell>
          <cell r="CF406">
            <v>0</v>
          </cell>
          <cell r="CG406">
            <v>0</v>
          </cell>
          <cell r="CH406">
            <v>0</v>
          </cell>
          <cell r="CI406">
            <v>0</v>
          </cell>
          <cell r="CJ406">
            <v>0</v>
          </cell>
          <cell r="CK406">
            <v>47486.85</v>
          </cell>
          <cell r="CL406">
            <v>3258.53</v>
          </cell>
          <cell r="CM406">
            <v>0</v>
          </cell>
          <cell r="CN406">
            <v>0</v>
          </cell>
          <cell r="CO406">
            <v>0</v>
          </cell>
          <cell r="CP406">
            <v>0</v>
          </cell>
          <cell r="CQ406">
            <v>0</v>
          </cell>
          <cell r="CR406">
            <v>0</v>
          </cell>
          <cell r="CS406">
            <v>0</v>
          </cell>
          <cell r="CT406">
            <v>0</v>
          </cell>
          <cell r="CU406">
            <v>0</v>
          </cell>
          <cell r="CV406">
            <v>0</v>
          </cell>
          <cell r="CW406">
            <v>0</v>
          </cell>
          <cell r="CX406">
            <v>0</v>
          </cell>
          <cell r="CY406">
            <v>0</v>
          </cell>
          <cell r="CZ406">
            <v>0</v>
          </cell>
          <cell r="DA406">
            <v>0</v>
          </cell>
          <cell r="DB406">
            <v>0</v>
          </cell>
          <cell r="DC406">
            <v>0</v>
          </cell>
          <cell r="DD406">
            <v>0</v>
          </cell>
          <cell r="DE406">
            <v>0</v>
          </cell>
          <cell r="DF406">
            <v>0</v>
          </cell>
          <cell r="DG406">
            <v>0</v>
          </cell>
          <cell r="DH406">
            <v>0</v>
          </cell>
        </row>
        <row r="407">
          <cell r="A407" t="str">
            <v>8900170</v>
          </cell>
          <cell r="B407" t="str">
            <v>8900170</v>
          </cell>
          <cell r="C407" t="str">
            <v>FICO Recon TOTI</v>
          </cell>
          <cell r="D407">
            <v>0</v>
          </cell>
          <cell r="E407">
            <v>0</v>
          </cell>
          <cell r="F407">
            <v>0</v>
          </cell>
          <cell r="G407">
            <v>0</v>
          </cell>
          <cell r="H407">
            <v>0</v>
          </cell>
          <cell r="I407">
            <v>0</v>
          </cell>
          <cell r="J407">
            <v>0</v>
          </cell>
          <cell r="K407">
            <v>0</v>
          </cell>
          <cell r="L407">
            <v>0</v>
          </cell>
          <cell r="M407">
            <v>0</v>
          </cell>
          <cell r="N407">
            <v>-11.36</v>
          </cell>
          <cell r="O407">
            <v>0</v>
          </cell>
          <cell r="P407">
            <v>0</v>
          </cell>
          <cell r="Q407">
            <v>0</v>
          </cell>
          <cell r="R407">
            <v>0</v>
          </cell>
          <cell r="S407">
            <v>0</v>
          </cell>
          <cell r="T407">
            <v>0</v>
          </cell>
          <cell r="U407">
            <v>0.83</v>
          </cell>
          <cell r="V407">
            <v>0</v>
          </cell>
          <cell r="W407">
            <v>0</v>
          </cell>
          <cell r="X407">
            <v>0</v>
          </cell>
          <cell r="Y407">
            <v>0</v>
          </cell>
          <cell r="Z407">
            <v>0</v>
          </cell>
          <cell r="AA407">
            <v>0</v>
          </cell>
          <cell r="AB407">
            <v>0</v>
          </cell>
          <cell r="AC407">
            <v>0</v>
          </cell>
          <cell r="AD407">
            <v>1.1399999999999999</v>
          </cell>
          <cell r="AE407">
            <v>0</v>
          </cell>
          <cell r="AF407">
            <v>0</v>
          </cell>
          <cell r="AG407">
            <v>0</v>
          </cell>
          <cell r="AH407">
            <v>0</v>
          </cell>
          <cell r="AI407">
            <v>1.82</v>
          </cell>
          <cell r="AJ407">
            <v>0</v>
          </cell>
          <cell r="AK407">
            <v>0</v>
          </cell>
          <cell r="AL407">
            <v>0</v>
          </cell>
          <cell r="AM407">
            <v>0</v>
          </cell>
          <cell r="AN407">
            <v>1.19</v>
          </cell>
          <cell r="AO407">
            <v>0</v>
          </cell>
          <cell r="AP407">
            <v>0</v>
          </cell>
          <cell r="AQ407">
            <v>0</v>
          </cell>
          <cell r="AR407">
            <v>0</v>
          </cell>
          <cell r="AS407">
            <v>0</v>
          </cell>
          <cell r="AT407">
            <v>0</v>
          </cell>
          <cell r="AU407">
            <v>0</v>
          </cell>
          <cell r="AV407">
            <v>0</v>
          </cell>
          <cell r="AW407">
            <v>0</v>
          </cell>
          <cell r="AX407">
            <v>3.75</v>
          </cell>
          <cell r="AY407">
            <v>0</v>
          </cell>
          <cell r="AZ407">
            <v>0</v>
          </cell>
          <cell r="BA407">
            <v>0</v>
          </cell>
          <cell r="BB407">
            <v>0</v>
          </cell>
          <cell r="BC407">
            <v>0</v>
          </cell>
          <cell r="BD407">
            <v>0</v>
          </cell>
          <cell r="BE407">
            <v>3.59</v>
          </cell>
          <cell r="BF407">
            <v>-124.9</v>
          </cell>
          <cell r="BG407">
            <v>0</v>
          </cell>
          <cell r="BH407">
            <v>0</v>
          </cell>
          <cell r="BI407">
            <v>0</v>
          </cell>
          <cell r="BJ407">
            <v>0</v>
          </cell>
          <cell r="BK407">
            <v>-245.62</v>
          </cell>
          <cell r="BL407">
            <v>0</v>
          </cell>
          <cell r="BM407">
            <v>0</v>
          </cell>
          <cell r="BN407">
            <v>0</v>
          </cell>
          <cell r="BO407">
            <v>0</v>
          </cell>
          <cell r="BP407">
            <v>0</v>
          </cell>
          <cell r="BQ407">
            <v>0</v>
          </cell>
          <cell r="BR407">
            <v>0</v>
          </cell>
          <cell r="BS407">
            <v>0</v>
          </cell>
          <cell r="BT407">
            <v>9.7799999999999994</v>
          </cell>
          <cell r="BU407">
            <v>13.51</v>
          </cell>
          <cell r="BV407">
            <v>3.26</v>
          </cell>
          <cell r="BW407">
            <v>3.26</v>
          </cell>
          <cell r="BX407">
            <v>12.7</v>
          </cell>
          <cell r="BY407">
            <v>-529.36</v>
          </cell>
          <cell r="BZ407">
            <v>535.11</v>
          </cell>
          <cell r="CA407">
            <v>0</v>
          </cell>
          <cell r="CB407">
            <v>0</v>
          </cell>
          <cell r="CC407">
            <v>0</v>
          </cell>
          <cell r="CD407">
            <v>228.76</v>
          </cell>
          <cell r="CE407">
            <v>0</v>
          </cell>
          <cell r="CF407">
            <v>0</v>
          </cell>
          <cell r="CG407">
            <v>2.17</v>
          </cell>
          <cell r="CH407">
            <v>0</v>
          </cell>
          <cell r="CI407">
            <v>1968.22</v>
          </cell>
          <cell r="CJ407">
            <v>0</v>
          </cell>
          <cell r="CK407">
            <v>0</v>
          </cell>
          <cell r="CL407">
            <v>0</v>
          </cell>
          <cell r="CM407">
            <v>1038.8399999999999</v>
          </cell>
          <cell r="CN407">
            <v>273.81</v>
          </cell>
          <cell r="CO407">
            <v>329.37</v>
          </cell>
          <cell r="CP407">
            <v>134.88999999999999</v>
          </cell>
          <cell r="CQ407">
            <v>-829.96</v>
          </cell>
          <cell r="CR407">
            <v>0</v>
          </cell>
          <cell r="CS407">
            <v>0</v>
          </cell>
          <cell r="CT407">
            <v>-22.15</v>
          </cell>
          <cell r="CU407">
            <v>565.77</v>
          </cell>
          <cell r="CV407">
            <v>48086.32</v>
          </cell>
          <cell r="CW407">
            <v>45027.43</v>
          </cell>
          <cell r="CX407">
            <v>50088.46</v>
          </cell>
          <cell r="CY407">
            <v>51829.51</v>
          </cell>
          <cell r="CZ407">
            <v>54183.37</v>
          </cell>
          <cell r="DA407">
            <v>57129.59</v>
          </cell>
          <cell r="DB407">
            <v>61745.63</v>
          </cell>
          <cell r="DC407">
            <v>63666.27</v>
          </cell>
          <cell r="DD407">
            <v>58098.95</v>
          </cell>
          <cell r="DE407">
            <v>62372.71</v>
          </cell>
          <cell r="DF407">
            <v>59425.87</v>
          </cell>
          <cell r="DG407">
            <v>54825.63</v>
          </cell>
          <cell r="DH407">
            <v>666479.74</v>
          </cell>
        </row>
        <row r="408">
          <cell r="A408" t="str">
            <v>8900180</v>
          </cell>
          <cell r="B408" t="str">
            <v>8900180</v>
          </cell>
          <cell r="C408" t="str">
            <v>FICO Recon Oth IncEx</v>
          </cell>
          <cell r="D408">
            <v>48</v>
          </cell>
          <cell r="E408">
            <v>47</v>
          </cell>
          <cell r="F408">
            <v>46</v>
          </cell>
          <cell r="G408">
            <v>46</v>
          </cell>
          <cell r="H408">
            <v>68</v>
          </cell>
          <cell r="I408">
            <v>43</v>
          </cell>
          <cell r="J408">
            <v>43</v>
          </cell>
          <cell r="K408">
            <v>44</v>
          </cell>
          <cell r="L408">
            <v>46</v>
          </cell>
          <cell r="M408">
            <v>75</v>
          </cell>
          <cell r="N408">
            <v>50</v>
          </cell>
          <cell r="O408">
            <v>50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109.88</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-2368.0700000000002</v>
          </cell>
          <cell r="BX408">
            <v>2368.0700000000002</v>
          </cell>
          <cell r="BY408">
            <v>0</v>
          </cell>
          <cell r="BZ408">
            <v>0</v>
          </cell>
          <cell r="CA408">
            <v>0</v>
          </cell>
          <cell r="CB408">
            <v>0</v>
          </cell>
          <cell r="CC408">
            <v>0</v>
          </cell>
          <cell r="CD408">
            <v>0</v>
          </cell>
          <cell r="CE408">
            <v>0</v>
          </cell>
          <cell r="CF408">
            <v>0</v>
          </cell>
          <cell r="CG408">
            <v>-15987.2</v>
          </cell>
          <cell r="CH408">
            <v>0</v>
          </cell>
          <cell r="CI408">
            <v>-18543.73</v>
          </cell>
          <cell r="CJ408">
            <v>-3808.97</v>
          </cell>
          <cell r="CK408">
            <v>0</v>
          </cell>
          <cell r="CL408">
            <v>0</v>
          </cell>
          <cell r="CM408">
            <v>-14680.09</v>
          </cell>
          <cell r="CN408">
            <v>0</v>
          </cell>
          <cell r="CO408">
            <v>0</v>
          </cell>
          <cell r="CP408">
            <v>-15915.37</v>
          </cell>
          <cell r="CQ408">
            <v>0</v>
          </cell>
          <cell r="CR408">
            <v>0</v>
          </cell>
          <cell r="CS408">
            <v>0</v>
          </cell>
          <cell r="CT408">
            <v>0</v>
          </cell>
          <cell r="CU408">
            <v>-15600.05</v>
          </cell>
          <cell r="CV408">
            <v>0</v>
          </cell>
          <cell r="CW408">
            <v>-22373.360000000001</v>
          </cell>
          <cell r="CX408">
            <v>-10500</v>
          </cell>
          <cell r="CY408">
            <v>0</v>
          </cell>
          <cell r="CZ408">
            <v>-21456.61</v>
          </cell>
          <cell r="DA408">
            <v>0</v>
          </cell>
          <cell r="DB408">
            <v>0</v>
          </cell>
          <cell r="DC408">
            <v>-20379.490000000002</v>
          </cell>
          <cell r="DD408">
            <v>0</v>
          </cell>
          <cell r="DE408">
            <v>0</v>
          </cell>
          <cell r="DF408">
            <v>0</v>
          </cell>
          <cell r="DG408">
            <v>-14411.13</v>
          </cell>
          <cell r="DH408">
            <v>-89120.590000000011</v>
          </cell>
        </row>
        <row r="409">
          <cell r="A409" t="str">
            <v>8903001</v>
          </cell>
          <cell r="B409" t="str">
            <v>8903001</v>
          </cell>
          <cell r="C409" t="str">
            <v>FICO Rec Enrg Alloc</v>
          </cell>
          <cell r="U409">
            <v>340196.87</v>
          </cell>
          <cell r="V409">
            <v>360376.11</v>
          </cell>
          <cell r="W409">
            <v>327688.73</v>
          </cell>
          <cell r="X409">
            <v>505130.44</v>
          </cell>
          <cell r="Y409">
            <v>293423.52</v>
          </cell>
          <cell r="Z409">
            <v>468968.19</v>
          </cell>
          <cell r="AA409">
            <v>456157.34</v>
          </cell>
          <cell r="AB409">
            <v>0</v>
          </cell>
          <cell r="AC409">
            <v>338795.02</v>
          </cell>
          <cell r="AD409">
            <v>433172.44</v>
          </cell>
          <cell r="AE409">
            <v>406311.65</v>
          </cell>
          <cell r="AF409">
            <v>399331.56</v>
          </cell>
          <cell r="AG409">
            <v>425226.31</v>
          </cell>
          <cell r="AH409">
            <v>312733.27</v>
          </cell>
          <cell r="AI409">
            <v>332500.53000000003</v>
          </cell>
          <cell r="AJ409">
            <v>258087.24</v>
          </cell>
          <cell r="AK409">
            <v>284161.68</v>
          </cell>
          <cell r="AL409">
            <v>541638.15</v>
          </cell>
          <cell r="AM409">
            <v>364706.15</v>
          </cell>
          <cell r="AN409">
            <v>318617.2</v>
          </cell>
          <cell r="AO409">
            <v>256325.83</v>
          </cell>
          <cell r="AP409">
            <v>335185.86</v>
          </cell>
          <cell r="AQ409">
            <v>294080.78999999998</v>
          </cell>
          <cell r="AR409">
            <v>317315.45</v>
          </cell>
          <cell r="AS409">
            <v>322341.21000000002</v>
          </cell>
          <cell r="AT409">
            <v>296908.77</v>
          </cell>
          <cell r="AU409">
            <v>299947.23</v>
          </cell>
          <cell r="AV409">
            <v>291944.32000000001</v>
          </cell>
          <cell r="AW409">
            <v>346645.64</v>
          </cell>
          <cell r="AX409">
            <v>372342.85</v>
          </cell>
          <cell r="AY409">
            <v>335426.77</v>
          </cell>
          <cell r="AZ409">
            <v>285286.28999999998</v>
          </cell>
          <cell r="BA409">
            <v>288474.98</v>
          </cell>
          <cell r="BB409">
            <v>311128.25</v>
          </cell>
          <cell r="BC409">
            <v>227439.51</v>
          </cell>
          <cell r="BD409">
            <v>253752.7</v>
          </cell>
          <cell r="BE409">
            <v>435277.96</v>
          </cell>
          <cell r="BF409">
            <v>312911.90000000002</v>
          </cell>
          <cell r="BG409">
            <v>301242.5</v>
          </cell>
          <cell r="BH409">
            <v>448803.56</v>
          </cell>
          <cell r="BI409">
            <v>289028.31</v>
          </cell>
          <cell r="BJ409">
            <v>284723.36</v>
          </cell>
          <cell r="BK409">
            <v>302852.33</v>
          </cell>
          <cell r="BL409">
            <v>250241.38</v>
          </cell>
          <cell r="BM409">
            <v>232073.1</v>
          </cell>
          <cell r="BN409">
            <v>438540.3</v>
          </cell>
          <cell r="BO409">
            <v>257556.94</v>
          </cell>
          <cell r="BP409">
            <v>253883.5</v>
          </cell>
          <cell r="BQ409">
            <v>442260.9</v>
          </cell>
          <cell r="BR409">
            <v>226936.25</v>
          </cell>
          <cell r="BS409">
            <v>295136.09999999998</v>
          </cell>
          <cell r="BT409">
            <v>490284.52</v>
          </cell>
          <cell r="BU409">
            <v>229520.12</v>
          </cell>
          <cell r="BV409">
            <v>192411.81</v>
          </cell>
          <cell r="BW409">
            <v>161287.59</v>
          </cell>
          <cell r="BX409">
            <v>254518.65</v>
          </cell>
          <cell r="BY409">
            <v>213109.5</v>
          </cell>
          <cell r="BZ409">
            <v>387030.9</v>
          </cell>
          <cell r="CA409">
            <v>237745.08</v>
          </cell>
          <cell r="CB409">
            <v>245899.26</v>
          </cell>
          <cell r="CC409">
            <v>195432.38</v>
          </cell>
          <cell r="CD409">
            <v>230578.63</v>
          </cell>
          <cell r="CE409">
            <v>239354.88</v>
          </cell>
          <cell r="CF409">
            <v>340346.17</v>
          </cell>
          <cell r="CG409">
            <v>240802.1</v>
          </cell>
          <cell r="CH409">
            <v>225389.75</v>
          </cell>
          <cell r="CI409">
            <v>700086.58</v>
          </cell>
          <cell r="CJ409">
            <v>249019.84</v>
          </cell>
          <cell r="CK409">
            <v>281366.49</v>
          </cell>
          <cell r="CL409">
            <v>430920.98</v>
          </cell>
          <cell r="CM409">
            <v>-9331.7099999999991</v>
          </cell>
          <cell r="CN409">
            <v>266496.43</v>
          </cell>
          <cell r="CO409">
            <v>348330.4</v>
          </cell>
          <cell r="CP409">
            <v>219276.46</v>
          </cell>
          <cell r="CQ409">
            <v>255022.12</v>
          </cell>
          <cell r="CR409">
            <v>279980.31</v>
          </cell>
          <cell r="CS409">
            <v>314206.28000000003</v>
          </cell>
          <cell r="CT409">
            <v>221002.93</v>
          </cell>
          <cell r="CU409">
            <v>362370.75</v>
          </cell>
          <cell r="CV409">
            <v>293125.93</v>
          </cell>
          <cell r="CW409">
            <v>288438.14</v>
          </cell>
          <cell r="CX409">
            <v>385509.07</v>
          </cell>
          <cell r="CY409">
            <v>199253.9</v>
          </cell>
          <cell r="CZ409">
            <v>290910.58</v>
          </cell>
          <cell r="DA409">
            <v>377934.22</v>
          </cell>
          <cell r="DB409">
            <v>278497.23</v>
          </cell>
          <cell r="DC409">
            <v>497770.09</v>
          </cell>
          <cell r="DD409">
            <v>348449.03</v>
          </cell>
          <cell r="DE409">
            <v>379492.63</v>
          </cell>
          <cell r="DF409">
            <v>295335.17</v>
          </cell>
          <cell r="DG409">
            <v>424684.03</v>
          </cell>
          <cell r="DH409">
            <v>4059400.0200000005</v>
          </cell>
        </row>
        <row r="410">
          <cell r="A410" t="str">
            <v>8903002</v>
          </cell>
          <cell r="B410" t="str">
            <v>8903002</v>
          </cell>
          <cell r="C410" t="str">
            <v>FICO Rec IT Alloc</v>
          </cell>
          <cell r="D410">
            <v>424221</v>
          </cell>
          <cell r="E410">
            <v>424221</v>
          </cell>
          <cell r="F410">
            <v>424221</v>
          </cell>
          <cell r="G410">
            <v>424221</v>
          </cell>
          <cell r="H410">
            <v>424221</v>
          </cell>
          <cell r="I410">
            <v>424221</v>
          </cell>
          <cell r="J410">
            <v>424221</v>
          </cell>
          <cell r="K410">
            <v>424221</v>
          </cell>
          <cell r="L410">
            <v>424221</v>
          </cell>
          <cell r="M410">
            <v>424221</v>
          </cell>
          <cell r="N410">
            <v>424221</v>
          </cell>
          <cell r="O410">
            <v>424221</v>
          </cell>
          <cell r="P410">
            <v>424155.2</v>
          </cell>
          <cell r="Q410">
            <v>327099.78999999998</v>
          </cell>
          <cell r="R410">
            <v>421274.65</v>
          </cell>
          <cell r="S410">
            <v>378032.96</v>
          </cell>
          <cell r="T410">
            <v>294047.57</v>
          </cell>
          <cell r="U410">
            <v>144014.47</v>
          </cell>
          <cell r="V410">
            <v>304923.39</v>
          </cell>
          <cell r="W410">
            <v>289482.02</v>
          </cell>
          <cell r="X410">
            <v>331747.06</v>
          </cell>
          <cell r="Y410">
            <v>332773.44</v>
          </cell>
          <cell r="Z410">
            <v>294761.93</v>
          </cell>
          <cell r="AA410">
            <v>344128.6</v>
          </cell>
          <cell r="AB410">
            <v>0</v>
          </cell>
          <cell r="AC410">
            <v>292110.84999999998</v>
          </cell>
          <cell r="AD410">
            <v>319408.75</v>
          </cell>
          <cell r="AE410">
            <v>275386.3</v>
          </cell>
          <cell r="AF410">
            <v>320715.5</v>
          </cell>
          <cell r="AG410">
            <v>359381.2</v>
          </cell>
          <cell r="AH410">
            <v>317105.73</v>
          </cell>
          <cell r="AI410">
            <v>343186.27</v>
          </cell>
          <cell r="AJ410">
            <v>445149.53</v>
          </cell>
          <cell r="AK410">
            <v>349927.55</v>
          </cell>
          <cell r="AL410">
            <v>335463.05</v>
          </cell>
          <cell r="AM410">
            <v>419663.69</v>
          </cell>
          <cell r="AN410">
            <v>311669.56</v>
          </cell>
          <cell r="AO410">
            <v>290150.83</v>
          </cell>
          <cell r="AP410">
            <v>317972.55</v>
          </cell>
          <cell r="AQ410">
            <v>341123.9</v>
          </cell>
          <cell r="AR410">
            <v>354119.67999999999</v>
          </cell>
          <cell r="AS410">
            <v>333432.05</v>
          </cell>
          <cell r="AT410">
            <v>309489.93</v>
          </cell>
          <cell r="AU410">
            <v>335198.09000000003</v>
          </cell>
          <cell r="AV410">
            <v>306947.74</v>
          </cell>
          <cell r="AW410">
            <v>189630.55</v>
          </cell>
          <cell r="AX410">
            <v>321312.67</v>
          </cell>
          <cell r="AY410">
            <v>352512.35</v>
          </cell>
          <cell r="AZ410">
            <v>387840.64</v>
          </cell>
          <cell r="BA410">
            <v>316583.2</v>
          </cell>
          <cell r="BB410">
            <v>365942.81</v>
          </cell>
          <cell r="BC410">
            <v>386747.22</v>
          </cell>
          <cell r="BD410">
            <v>368870.35</v>
          </cell>
          <cell r="BE410">
            <v>351690.97</v>
          </cell>
          <cell r="BF410">
            <v>360390.84</v>
          </cell>
          <cell r="BG410">
            <v>343200.77</v>
          </cell>
          <cell r="BH410">
            <v>331496.37</v>
          </cell>
          <cell r="BI410">
            <v>339238.56</v>
          </cell>
          <cell r="BJ410">
            <v>307777.8</v>
          </cell>
          <cell r="BK410">
            <v>327964.99</v>
          </cell>
          <cell r="BL410">
            <v>426770.16</v>
          </cell>
          <cell r="BM410">
            <v>331421.03000000003</v>
          </cell>
          <cell r="BN410">
            <v>360030.75</v>
          </cell>
          <cell r="BO410">
            <v>366193.13</v>
          </cell>
          <cell r="BP410">
            <v>386179.49</v>
          </cell>
          <cell r="BQ410">
            <v>350585.92</v>
          </cell>
          <cell r="BR410">
            <v>375243.15</v>
          </cell>
          <cell r="BS410">
            <v>359640.56</v>
          </cell>
          <cell r="BT410">
            <v>350024.43</v>
          </cell>
          <cell r="BU410">
            <v>355093.56</v>
          </cell>
          <cell r="BV410">
            <v>350550.81</v>
          </cell>
          <cell r="BW410">
            <v>406541.66</v>
          </cell>
          <cell r="BX410">
            <v>333936.81</v>
          </cell>
          <cell r="BY410">
            <v>446855.16</v>
          </cell>
          <cell r="BZ410">
            <v>430343.53</v>
          </cell>
          <cell r="CA410">
            <v>468903.4</v>
          </cell>
          <cell r="CB410">
            <v>416845.71</v>
          </cell>
          <cell r="CC410">
            <v>529473.76</v>
          </cell>
          <cell r="CD410">
            <v>373551.56</v>
          </cell>
          <cell r="CE410">
            <v>437686.36</v>
          </cell>
          <cell r="CF410">
            <v>351217</v>
          </cell>
          <cell r="CG410">
            <v>379249.53</v>
          </cell>
          <cell r="CH410">
            <v>380499.79</v>
          </cell>
          <cell r="CI410">
            <v>395882.03</v>
          </cell>
          <cell r="CJ410">
            <v>483012.97</v>
          </cell>
          <cell r="CK410">
            <v>417643.07</v>
          </cell>
          <cell r="CL410">
            <v>467471.86</v>
          </cell>
          <cell r="CM410">
            <v>317307.38</v>
          </cell>
          <cell r="CN410">
            <v>467802.1</v>
          </cell>
          <cell r="CO410">
            <v>509544.15</v>
          </cell>
          <cell r="CP410">
            <v>478566.07</v>
          </cell>
          <cell r="CQ410">
            <v>481610.43</v>
          </cell>
          <cell r="CR410">
            <v>471861.06</v>
          </cell>
          <cell r="CS410">
            <v>399353.38</v>
          </cell>
          <cell r="CT410">
            <v>570928.18999999994</v>
          </cell>
          <cell r="CU410">
            <v>585398.79</v>
          </cell>
          <cell r="CV410">
            <v>443030.39</v>
          </cell>
          <cell r="CW410">
            <v>527385.71</v>
          </cell>
          <cell r="CX410">
            <v>550690.79</v>
          </cell>
          <cell r="CY410">
            <v>504522.87</v>
          </cell>
          <cell r="CZ410">
            <v>529057.19999999995</v>
          </cell>
          <cell r="DA410">
            <v>499884.02</v>
          </cell>
          <cell r="DB410">
            <v>454213.24</v>
          </cell>
          <cell r="DC410">
            <v>558039.43000000005</v>
          </cell>
          <cell r="DD410">
            <v>507917.14</v>
          </cell>
          <cell r="DE410">
            <v>642876.30000000005</v>
          </cell>
          <cell r="DF410">
            <v>502383.01</v>
          </cell>
          <cell r="DG410">
            <v>724708.72</v>
          </cell>
          <cell r="DH410">
            <v>6444708.8199999994</v>
          </cell>
        </row>
        <row r="411">
          <cell r="A411" t="str">
            <v>8903003</v>
          </cell>
          <cell r="B411" t="str">
            <v>8903003</v>
          </cell>
          <cell r="C411" t="str">
            <v>FICO Rec Telec Alloc</v>
          </cell>
          <cell r="D411">
            <v>27867</v>
          </cell>
          <cell r="E411">
            <v>27867</v>
          </cell>
          <cell r="F411">
            <v>27867</v>
          </cell>
          <cell r="G411">
            <v>27867</v>
          </cell>
          <cell r="H411">
            <v>27867</v>
          </cell>
          <cell r="I411">
            <v>27867</v>
          </cell>
          <cell r="J411">
            <v>27867</v>
          </cell>
          <cell r="K411">
            <v>27867</v>
          </cell>
          <cell r="L411">
            <v>27867</v>
          </cell>
          <cell r="M411">
            <v>27867</v>
          </cell>
          <cell r="N411">
            <v>27867</v>
          </cell>
          <cell r="O411">
            <v>27867</v>
          </cell>
          <cell r="P411">
            <v>25309</v>
          </cell>
          <cell r="Q411">
            <v>25309</v>
          </cell>
          <cell r="R411">
            <v>25309</v>
          </cell>
          <cell r="S411">
            <v>25309</v>
          </cell>
          <cell r="T411">
            <v>25309</v>
          </cell>
          <cell r="U411">
            <v>25309</v>
          </cell>
          <cell r="V411">
            <v>25309</v>
          </cell>
          <cell r="W411">
            <v>25309</v>
          </cell>
          <cell r="X411">
            <v>25309</v>
          </cell>
          <cell r="Y411">
            <v>25309</v>
          </cell>
          <cell r="Z411">
            <v>25309</v>
          </cell>
          <cell r="AA411">
            <v>25309</v>
          </cell>
          <cell r="AB411">
            <v>28453</v>
          </cell>
          <cell r="AC411">
            <v>28453</v>
          </cell>
          <cell r="AD411">
            <v>28453</v>
          </cell>
          <cell r="AE411">
            <v>28453</v>
          </cell>
          <cell r="AF411">
            <v>28453</v>
          </cell>
          <cell r="AG411">
            <v>28453</v>
          </cell>
          <cell r="AH411">
            <v>28453</v>
          </cell>
          <cell r="AI411">
            <v>28453</v>
          </cell>
          <cell r="AJ411">
            <v>28453</v>
          </cell>
          <cell r="AK411">
            <v>28453</v>
          </cell>
          <cell r="AL411">
            <v>28453</v>
          </cell>
          <cell r="AM411">
            <v>28453</v>
          </cell>
          <cell r="AN411">
            <v>22238</v>
          </cell>
          <cell r="AO411">
            <v>22238</v>
          </cell>
          <cell r="AP411">
            <v>22238</v>
          </cell>
          <cell r="AQ411">
            <v>22238</v>
          </cell>
          <cell r="AR411">
            <v>22238</v>
          </cell>
          <cell r="AS411">
            <v>22238</v>
          </cell>
          <cell r="AT411">
            <v>22238</v>
          </cell>
          <cell r="AU411">
            <v>22238</v>
          </cell>
          <cell r="AV411">
            <v>22238</v>
          </cell>
          <cell r="AW411">
            <v>22238</v>
          </cell>
          <cell r="AX411">
            <v>22238</v>
          </cell>
          <cell r="AY411">
            <v>22238</v>
          </cell>
          <cell r="AZ411">
            <v>22306</v>
          </cell>
          <cell r="BA411">
            <v>22306</v>
          </cell>
          <cell r="BB411">
            <v>22306</v>
          </cell>
          <cell r="BC411">
            <v>22306</v>
          </cell>
          <cell r="BD411">
            <v>22306</v>
          </cell>
          <cell r="BE411">
            <v>22306</v>
          </cell>
          <cell r="BF411">
            <v>22306</v>
          </cell>
          <cell r="BG411">
            <v>22306</v>
          </cell>
          <cell r="BH411">
            <v>22306</v>
          </cell>
          <cell r="BI411">
            <v>22306</v>
          </cell>
          <cell r="BJ411">
            <v>22306</v>
          </cell>
          <cell r="BK411">
            <v>22306</v>
          </cell>
          <cell r="BL411">
            <v>19953</v>
          </cell>
          <cell r="BM411">
            <v>19953</v>
          </cell>
          <cell r="BN411">
            <v>19953</v>
          </cell>
          <cell r="BO411">
            <v>19953</v>
          </cell>
          <cell r="BP411">
            <v>19953</v>
          </cell>
          <cell r="BQ411">
            <v>19953</v>
          </cell>
          <cell r="BR411">
            <v>19953</v>
          </cell>
          <cell r="BS411">
            <v>19953</v>
          </cell>
          <cell r="BT411">
            <v>19953</v>
          </cell>
          <cell r="BU411">
            <v>19953</v>
          </cell>
          <cell r="BV411">
            <v>19953</v>
          </cell>
          <cell r="BW411">
            <v>19953</v>
          </cell>
          <cell r="BX411">
            <v>28789</v>
          </cell>
          <cell r="BY411">
            <v>28789</v>
          </cell>
          <cell r="BZ411">
            <v>28789</v>
          </cell>
          <cell r="CA411">
            <v>28789</v>
          </cell>
          <cell r="CB411">
            <v>28789</v>
          </cell>
          <cell r="CC411">
            <v>28789</v>
          </cell>
          <cell r="CD411">
            <v>28789</v>
          </cell>
          <cell r="CE411">
            <v>28789</v>
          </cell>
          <cell r="CF411">
            <v>28789</v>
          </cell>
          <cell r="CG411">
            <v>28789</v>
          </cell>
          <cell r="CH411">
            <v>28789</v>
          </cell>
          <cell r="CI411">
            <v>28789</v>
          </cell>
          <cell r="CJ411">
            <v>32821</v>
          </cell>
          <cell r="CK411">
            <v>32821</v>
          </cell>
          <cell r="CL411">
            <v>32821</v>
          </cell>
          <cell r="CM411">
            <v>32821</v>
          </cell>
          <cell r="CN411">
            <v>32821</v>
          </cell>
          <cell r="CO411">
            <v>32821</v>
          </cell>
          <cell r="CP411">
            <v>32821</v>
          </cell>
          <cell r="CQ411">
            <v>32821</v>
          </cell>
          <cell r="CR411">
            <v>32821</v>
          </cell>
          <cell r="CS411">
            <v>32821</v>
          </cell>
          <cell r="CT411">
            <v>32821</v>
          </cell>
          <cell r="CU411">
            <v>32821</v>
          </cell>
          <cell r="CV411">
            <v>32821</v>
          </cell>
          <cell r="CW411">
            <v>31643</v>
          </cell>
          <cell r="CX411">
            <v>31643</v>
          </cell>
          <cell r="CY411">
            <v>31643</v>
          </cell>
          <cell r="CZ411">
            <v>31643</v>
          </cell>
          <cell r="DA411">
            <v>31643</v>
          </cell>
          <cell r="DB411">
            <v>31643</v>
          </cell>
          <cell r="DC411">
            <v>31643</v>
          </cell>
          <cell r="DD411">
            <v>31643</v>
          </cell>
          <cell r="DE411">
            <v>31643</v>
          </cell>
          <cell r="DF411">
            <v>31643</v>
          </cell>
          <cell r="DG411">
            <v>31643</v>
          </cell>
          <cell r="DH411">
            <v>380894</v>
          </cell>
        </row>
        <row r="412">
          <cell r="A412" t="str">
            <v>8903004</v>
          </cell>
          <cell r="B412" t="str">
            <v>8903004</v>
          </cell>
          <cell r="C412" t="str">
            <v>FICO Rec Facilities</v>
          </cell>
          <cell r="D412">
            <v>17754</v>
          </cell>
          <cell r="E412">
            <v>17754</v>
          </cell>
          <cell r="F412">
            <v>17754</v>
          </cell>
          <cell r="G412">
            <v>17754</v>
          </cell>
          <cell r="H412">
            <v>17754</v>
          </cell>
          <cell r="I412">
            <v>17754</v>
          </cell>
          <cell r="J412">
            <v>17754</v>
          </cell>
          <cell r="K412">
            <v>17754</v>
          </cell>
          <cell r="L412">
            <v>17754</v>
          </cell>
          <cell r="M412">
            <v>17754</v>
          </cell>
          <cell r="N412">
            <v>17754</v>
          </cell>
          <cell r="O412">
            <v>17754</v>
          </cell>
          <cell r="P412">
            <v>15703</v>
          </cell>
          <cell r="Q412">
            <v>15703</v>
          </cell>
          <cell r="R412">
            <v>16120</v>
          </cell>
          <cell r="S412">
            <v>16120</v>
          </cell>
          <cell r="T412">
            <v>16120</v>
          </cell>
          <cell r="U412">
            <v>16120</v>
          </cell>
          <cell r="V412">
            <v>16120</v>
          </cell>
          <cell r="W412">
            <v>16120</v>
          </cell>
          <cell r="X412">
            <v>16475</v>
          </cell>
          <cell r="Y412">
            <v>16475</v>
          </cell>
          <cell r="Z412">
            <v>16475</v>
          </cell>
          <cell r="AA412">
            <v>16475</v>
          </cell>
          <cell r="AB412">
            <v>16500</v>
          </cell>
          <cell r="AC412">
            <v>16500</v>
          </cell>
          <cell r="AD412">
            <v>16500</v>
          </cell>
          <cell r="AE412">
            <v>16500</v>
          </cell>
          <cell r="AF412">
            <v>16500</v>
          </cell>
          <cell r="AG412">
            <v>16500</v>
          </cell>
          <cell r="AH412">
            <v>16500</v>
          </cell>
          <cell r="AI412">
            <v>16500</v>
          </cell>
          <cell r="AJ412">
            <v>16500</v>
          </cell>
          <cell r="AK412">
            <v>16500</v>
          </cell>
          <cell r="AL412">
            <v>16500</v>
          </cell>
          <cell r="AM412">
            <v>16500</v>
          </cell>
          <cell r="AN412">
            <v>18845</v>
          </cell>
          <cell r="AO412">
            <v>18845</v>
          </cell>
          <cell r="AP412">
            <v>18845</v>
          </cell>
          <cell r="AQ412">
            <v>18845</v>
          </cell>
          <cell r="AR412">
            <v>18845</v>
          </cell>
          <cell r="AS412">
            <v>18845</v>
          </cell>
          <cell r="AT412">
            <v>18845</v>
          </cell>
          <cell r="AU412">
            <v>18845</v>
          </cell>
          <cell r="AV412">
            <v>18845</v>
          </cell>
          <cell r="AW412">
            <v>18845</v>
          </cell>
          <cell r="AX412">
            <v>18845</v>
          </cell>
          <cell r="AY412">
            <v>18845</v>
          </cell>
          <cell r="AZ412">
            <v>17454</v>
          </cell>
          <cell r="BA412">
            <v>17454</v>
          </cell>
          <cell r="BB412">
            <v>17454</v>
          </cell>
          <cell r="BC412">
            <v>17454</v>
          </cell>
          <cell r="BD412">
            <v>17454</v>
          </cell>
          <cell r="BE412">
            <v>17454</v>
          </cell>
          <cell r="BF412">
            <v>17454</v>
          </cell>
          <cell r="BG412">
            <v>17454</v>
          </cell>
          <cell r="BH412">
            <v>17454</v>
          </cell>
          <cell r="BI412">
            <v>17454</v>
          </cell>
          <cell r="BJ412">
            <v>17454</v>
          </cell>
          <cell r="BK412">
            <v>17454</v>
          </cell>
          <cell r="BL412">
            <v>18029</v>
          </cell>
          <cell r="BM412">
            <v>18029</v>
          </cell>
          <cell r="BN412">
            <v>18029</v>
          </cell>
          <cell r="BO412">
            <v>18029</v>
          </cell>
          <cell r="BP412">
            <v>18029</v>
          </cell>
          <cell r="BQ412">
            <v>18029</v>
          </cell>
          <cell r="BR412">
            <v>18029</v>
          </cell>
          <cell r="BS412">
            <v>18029</v>
          </cell>
          <cell r="BT412">
            <v>18029</v>
          </cell>
          <cell r="BU412">
            <v>18029</v>
          </cell>
          <cell r="BV412">
            <v>18029</v>
          </cell>
          <cell r="BW412">
            <v>18029</v>
          </cell>
          <cell r="BX412">
            <v>18029</v>
          </cell>
          <cell r="BY412">
            <v>18029</v>
          </cell>
          <cell r="BZ412">
            <v>31637</v>
          </cell>
          <cell r="CA412">
            <v>22565</v>
          </cell>
          <cell r="CB412">
            <v>22565</v>
          </cell>
          <cell r="CC412">
            <v>22565</v>
          </cell>
          <cell r="CD412">
            <v>22565</v>
          </cell>
          <cell r="CE412">
            <v>22565</v>
          </cell>
          <cell r="CF412">
            <v>22565</v>
          </cell>
          <cell r="CG412">
            <v>22565</v>
          </cell>
          <cell r="CH412">
            <v>22565</v>
          </cell>
          <cell r="CI412">
            <v>22565</v>
          </cell>
          <cell r="CJ412">
            <v>23105</v>
          </cell>
          <cell r="CK412">
            <v>23105</v>
          </cell>
          <cell r="CL412">
            <v>23105</v>
          </cell>
          <cell r="CM412">
            <v>23105</v>
          </cell>
          <cell r="CN412">
            <v>23105</v>
          </cell>
          <cell r="CO412">
            <v>23105</v>
          </cell>
          <cell r="CP412">
            <v>23105</v>
          </cell>
          <cell r="CQ412">
            <v>23105</v>
          </cell>
          <cell r="CR412">
            <v>23105</v>
          </cell>
          <cell r="CS412">
            <v>23105</v>
          </cell>
          <cell r="CT412">
            <v>23105</v>
          </cell>
          <cell r="CU412">
            <v>23105</v>
          </cell>
          <cell r="CV412">
            <v>23105</v>
          </cell>
          <cell r="CW412">
            <v>23105.78</v>
          </cell>
          <cell r="CX412">
            <v>23105.78</v>
          </cell>
          <cell r="CY412">
            <v>23105.78</v>
          </cell>
          <cell r="CZ412">
            <v>23105.78</v>
          </cell>
          <cell r="DA412">
            <v>23105.78</v>
          </cell>
          <cell r="DB412">
            <v>23105.78</v>
          </cell>
          <cell r="DC412">
            <v>23105.78</v>
          </cell>
          <cell r="DD412">
            <v>23105.78</v>
          </cell>
          <cell r="DE412">
            <v>23105.78</v>
          </cell>
          <cell r="DF412">
            <v>23105.78</v>
          </cell>
          <cell r="DG412">
            <v>23105.78</v>
          </cell>
          <cell r="DH412">
            <v>277268.57999999996</v>
          </cell>
        </row>
        <row r="413">
          <cell r="A413" t="str">
            <v>8903005</v>
          </cell>
          <cell r="B413" t="str">
            <v>8903005</v>
          </cell>
          <cell r="C413" t="str">
            <v>FICO Rec HR Alloc</v>
          </cell>
          <cell r="U413">
            <v>85760.81</v>
          </cell>
          <cell r="V413">
            <v>90159.16</v>
          </cell>
          <cell r="W413">
            <v>80768.160000000003</v>
          </cell>
          <cell r="X413">
            <v>90866.57</v>
          </cell>
          <cell r="Y413">
            <v>103440.16</v>
          </cell>
          <cell r="Z413">
            <v>88746.31</v>
          </cell>
          <cell r="AA413">
            <v>104819.93</v>
          </cell>
          <cell r="AB413">
            <v>0</v>
          </cell>
          <cell r="AC413">
            <v>73062.45</v>
          </cell>
          <cell r="AD413">
            <v>73223.259999999995</v>
          </cell>
          <cell r="AE413">
            <v>71389.490000000005</v>
          </cell>
          <cell r="AF413">
            <v>89389.08</v>
          </cell>
          <cell r="AG413">
            <v>89274.559999999998</v>
          </cell>
          <cell r="AH413">
            <v>74569.009999999995</v>
          </cell>
          <cell r="AI413">
            <v>83909.26</v>
          </cell>
          <cell r="AJ413">
            <v>84209.1</v>
          </cell>
          <cell r="AK413">
            <v>91039.35</v>
          </cell>
          <cell r="AL413">
            <v>81827.72</v>
          </cell>
          <cell r="AM413">
            <v>86445.759999999995</v>
          </cell>
          <cell r="AN413">
            <v>95929.86</v>
          </cell>
          <cell r="AO413">
            <v>79350.47</v>
          </cell>
          <cell r="AP413">
            <v>94323.54</v>
          </cell>
          <cell r="AQ413">
            <v>82555.100000000006</v>
          </cell>
          <cell r="AR413">
            <v>95321.61</v>
          </cell>
          <cell r="AS413">
            <v>85947.18</v>
          </cell>
          <cell r="AT413">
            <v>87441.94</v>
          </cell>
          <cell r="AU413">
            <v>90868.67</v>
          </cell>
          <cell r="AV413">
            <v>70182.570000000007</v>
          </cell>
          <cell r="AW413">
            <v>95036.160000000003</v>
          </cell>
          <cell r="AX413">
            <v>89726.24</v>
          </cell>
          <cell r="AY413">
            <v>98071.28</v>
          </cell>
          <cell r="AZ413">
            <v>92665.61</v>
          </cell>
          <cell r="BA413">
            <v>80515.41</v>
          </cell>
          <cell r="BB413">
            <v>84523.1</v>
          </cell>
          <cell r="BC413">
            <v>81407.92</v>
          </cell>
          <cell r="BD413">
            <v>90525.57</v>
          </cell>
          <cell r="BE413">
            <v>88380.46</v>
          </cell>
          <cell r="BF413">
            <v>104011.1</v>
          </cell>
          <cell r="BG413">
            <v>100437.01</v>
          </cell>
          <cell r="BH413">
            <v>73367.3</v>
          </cell>
          <cell r="BI413">
            <v>95991.33</v>
          </cell>
          <cell r="BJ413">
            <v>77875.13</v>
          </cell>
          <cell r="BK413">
            <v>84686.77</v>
          </cell>
          <cell r="BL413">
            <v>125623.97</v>
          </cell>
          <cell r="BM413">
            <v>84449.69</v>
          </cell>
          <cell r="BN413">
            <v>80829.72</v>
          </cell>
          <cell r="BO413">
            <v>95087.69</v>
          </cell>
          <cell r="BP413">
            <v>113772.2</v>
          </cell>
          <cell r="BQ413">
            <v>81659.5</v>
          </cell>
          <cell r="BR413">
            <v>114949.88</v>
          </cell>
          <cell r="BS413">
            <v>92982.720000000001</v>
          </cell>
          <cell r="BT413">
            <v>83564.98</v>
          </cell>
          <cell r="BU413">
            <v>111986.15</v>
          </cell>
          <cell r="BV413">
            <v>87999.53</v>
          </cell>
          <cell r="BW413">
            <v>85150.37</v>
          </cell>
          <cell r="BX413">
            <v>32007.93</v>
          </cell>
          <cell r="BY413">
            <v>36681.71</v>
          </cell>
          <cell r="BZ413">
            <v>40159.870000000003</v>
          </cell>
          <cell r="CA413">
            <v>30514.66</v>
          </cell>
          <cell r="CB413">
            <v>30054.080000000002</v>
          </cell>
          <cell r="CC413">
            <v>34975.82</v>
          </cell>
          <cell r="CD413">
            <v>32789.11</v>
          </cell>
          <cell r="CE413">
            <v>81941.17</v>
          </cell>
          <cell r="CF413">
            <v>40009.129999999997</v>
          </cell>
          <cell r="CG413">
            <v>39860.519999999997</v>
          </cell>
          <cell r="CH413">
            <v>32728.05</v>
          </cell>
          <cell r="CI413">
            <v>46945.93</v>
          </cell>
          <cell r="CJ413">
            <v>42984.85</v>
          </cell>
          <cell r="CK413">
            <v>37043.730000000003</v>
          </cell>
          <cell r="CL413">
            <v>54834.12</v>
          </cell>
          <cell r="CM413">
            <v>40207.879999999997</v>
          </cell>
          <cell r="CN413">
            <v>33240.28</v>
          </cell>
          <cell r="CO413">
            <v>36320.730000000003</v>
          </cell>
          <cell r="CP413">
            <v>40421.32</v>
          </cell>
          <cell r="CQ413">
            <v>35796.050000000003</v>
          </cell>
          <cell r="CR413">
            <v>-94258.08</v>
          </cell>
          <cell r="CS413">
            <v>166216.37</v>
          </cell>
          <cell r="CT413">
            <v>32248.73</v>
          </cell>
          <cell r="CU413">
            <v>55637.65</v>
          </cell>
          <cell r="CV413">
            <v>53974.71</v>
          </cell>
          <cell r="CW413">
            <v>29870.62</v>
          </cell>
          <cell r="CX413">
            <v>34606.94</v>
          </cell>
          <cell r="CY413">
            <v>25674.959999999999</v>
          </cell>
          <cell r="CZ413">
            <v>11475.12</v>
          </cell>
          <cell r="DA413">
            <v>48131.1</v>
          </cell>
          <cell r="DB413">
            <v>33640.85</v>
          </cell>
          <cell r="DC413">
            <v>37927.89</v>
          </cell>
          <cell r="DD413">
            <v>32683.72</v>
          </cell>
          <cell r="DE413">
            <v>29500.21</v>
          </cell>
          <cell r="DF413">
            <v>35875.370000000003</v>
          </cell>
          <cell r="DG413">
            <v>30462.29</v>
          </cell>
          <cell r="DH413">
            <v>403823.78</v>
          </cell>
        </row>
        <row r="414">
          <cell r="A414" t="str">
            <v>8903006</v>
          </cell>
          <cell r="B414" t="str">
            <v>8903006</v>
          </cell>
          <cell r="C414" t="str">
            <v>FICORec TSISvc Alloc</v>
          </cell>
          <cell r="U414">
            <v>100475.17</v>
          </cell>
          <cell r="V414">
            <v>97087.31</v>
          </cell>
          <cell r="W414">
            <v>73487.210000000006</v>
          </cell>
          <cell r="X414">
            <v>80931.48</v>
          </cell>
          <cell r="Y414">
            <v>89464.24</v>
          </cell>
          <cell r="Z414">
            <v>88024.81</v>
          </cell>
          <cell r="AA414">
            <v>116094.95</v>
          </cell>
          <cell r="AB414">
            <v>0</v>
          </cell>
          <cell r="AC414">
            <v>92711.46</v>
          </cell>
          <cell r="AD414">
            <v>91299.35</v>
          </cell>
          <cell r="AE414">
            <v>81697.62</v>
          </cell>
          <cell r="AF414">
            <v>79615.539999999994</v>
          </cell>
          <cell r="AG414">
            <v>104116.01</v>
          </cell>
          <cell r="AH414">
            <v>80993.460000000006</v>
          </cell>
          <cell r="AI414">
            <v>81907.78</v>
          </cell>
          <cell r="AJ414">
            <v>84418.76</v>
          </cell>
          <cell r="AK414">
            <v>76760.97</v>
          </cell>
          <cell r="AL414">
            <v>79988.06</v>
          </cell>
          <cell r="AM414">
            <v>103823.46</v>
          </cell>
          <cell r="AN414">
            <v>120560.04</v>
          </cell>
          <cell r="AO414">
            <v>98375.81</v>
          </cell>
          <cell r="AP414">
            <v>105639</v>
          </cell>
          <cell r="AQ414">
            <v>97639.07</v>
          </cell>
          <cell r="AR414">
            <v>113440.9</v>
          </cell>
          <cell r="AS414">
            <v>104385.03</v>
          </cell>
          <cell r="AT414">
            <v>114813.36</v>
          </cell>
          <cell r="AU414">
            <v>102024.82</v>
          </cell>
          <cell r="AV414">
            <v>76536.83</v>
          </cell>
          <cell r="AW414">
            <v>97494.080000000002</v>
          </cell>
          <cell r="AX414">
            <v>103745.11</v>
          </cell>
          <cell r="AY414">
            <v>112520.95</v>
          </cell>
          <cell r="AZ414">
            <v>137549.57999999999</v>
          </cell>
          <cell r="BA414">
            <v>108888.12</v>
          </cell>
          <cell r="BB414">
            <v>100677.68</v>
          </cell>
          <cell r="BC414">
            <v>99067.83</v>
          </cell>
          <cell r="BD414">
            <v>110689</v>
          </cell>
          <cell r="BE414">
            <v>93634.15</v>
          </cell>
          <cell r="BF414">
            <v>123646.2</v>
          </cell>
          <cell r="BG414">
            <v>115074.35</v>
          </cell>
          <cell r="BH414">
            <v>101084.5</v>
          </cell>
          <cell r="BI414">
            <v>109584.67</v>
          </cell>
          <cell r="BJ414">
            <v>97280.65</v>
          </cell>
          <cell r="BK414">
            <v>106368.46</v>
          </cell>
          <cell r="BL414">
            <v>150916.1</v>
          </cell>
          <cell r="BM414">
            <v>119408.59</v>
          </cell>
          <cell r="BN414">
            <v>104945.94</v>
          </cell>
          <cell r="BO414">
            <v>121039.01</v>
          </cell>
          <cell r="BP414">
            <v>127988.52</v>
          </cell>
          <cell r="BQ414">
            <v>102346.61</v>
          </cell>
          <cell r="BR414">
            <v>117822.09</v>
          </cell>
          <cell r="BS414">
            <v>133237.03</v>
          </cell>
          <cell r="BT414">
            <v>105059.23</v>
          </cell>
          <cell r="BU414">
            <v>116122.33</v>
          </cell>
          <cell r="BV414">
            <v>116040.35</v>
          </cell>
          <cell r="BW414">
            <v>157339.75</v>
          </cell>
          <cell r="BX414">
            <v>27006.58</v>
          </cell>
          <cell r="BY414">
            <v>27655.48</v>
          </cell>
          <cell r="BZ414">
            <v>33150.42</v>
          </cell>
          <cell r="CA414">
            <v>27372.76</v>
          </cell>
          <cell r="CB414">
            <v>26392.14</v>
          </cell>
          <cell r="CC414">
            <v>28484.69</v>
          </cell>
          <cell r="CD414">
            <v>29205.62</v>
          </cell>
          <cell r="CE414">
            <v>27259.05</v>
          </cell>
          <cell r="CF414">
            <v>27130.639999999999</v>
          </cell>
          <cell r="CG414">
            <v>28920.23</v>
          </cell>
          <cell r="CH414">
            <v>24122.79</v>
          </cell>
          <cell r="CI414">
            <v>26665.42</v>
          </cell>
          <cell r="CJ414">
            <v>33223.449999999997</v>
          </cell>
          <cell r="CK414">
            <v>25041.439999999999</v>
          </cell>
          <cell r="CL414">
            <v>27185.85</v>
          </cell>
          <cell r="CM414">
            <v>29632.79</v>
          </cell>
          <cell r="CN414">
            <v>30314.03</v>
          </cell>
          <cell r="CO414">
            <v>27119.82</v>
          </cell>
          <cell r="CP414">
            <v>26431.57</v>
          </cell>
          <cell r="CQ414">
            <v>32422.91</v>
          </cell>
          <cell r="CR414">
            <v>29700.560000000001</v>
          </cell>
          <cell r="CS414">
            <v>27113.61</v>
          </cell>
          <cell r="CT414">
            <v>29365.02</v>
          </cell>
          <cell r="CU414">
            <v>30175.37</v>
          </cell>
          <cell r="CV414">
            <v>28273.19</v>
          </cell>
          <cell r="CW414">
            <v>28099.360000000001</v>
          </cell>
          <cell r="CX414">
            <v>31453.94</v>
          </cell>
          <cell r="CY414">
            <v>29064.89</v>
          </cell>
          <cell r="CZ414">
            <v>31431.75</v>
          </cell>
          <cell r="DA414">
            <v>30655.86</v>
          </cell>
          <cell r="DB414">
            <v>27188</v>
          </cell>
          <cell r="DC414">
            <v>30054.16</v>
          </cell>
          <cell r="DD414">
            <v>29476.61</v>
          </cell>
          <cell r="DE414">
            <v>25935.360000000001</v>
          </cell>
          <cell r="DF414">
            <v>29823.5</v>
          </cell>
          <cell r="DG414">
            <v>31725.49</v>
          </cell>
          <cell r="DH414">
            <v>353182.11</v>
          </cell>
        </row>
        <row r="415">
          <cell r="A415" t="str">
            <v>8903007</v>
          </cell>
          <cell r="B415" t="str">
            <v>8903007</v>
          </cell>
          <cell r="C415" t="str">
            <v>FICO Rec Proc Alloc</v>
          </cell>
          <cell r="U415">
            <v>46422.5</v>
          </cell>
          <cell r="V415">
            <v>46455.29</v>
          </cell>
          <cell r="W415">
            <v>43385</v>
          </cell>
          <cell r="X415">
            <v>46087.19</v>
          </cell>
          <cell r="Y415">
            <v>48134.239999999998</v>
          </cell>
          <cell r="Z415">
            <v>43888.49</v>
          </cell>
          <cell r="AA415">
            <v>53478.21</v>
          </cell>
          <cell r="AB415">
            <v>0</v>
          </cell>
          <cell r="AC415">
            <v>45177.5</v>
          </cell>
          <cell r="AD415">
            <v>49269.18</v>
          </cell>
          <cell r="AE415">
            <v>44401.760000000002</v>
          </cell>
          <cell r="AF415">
            <v>44918.7</v>
          </cell>
          <cell r="AG415">
            <v>49305.52</v>
          </cell>
          <cell r="AH415">
            <v>44798.12</v>
          </cell>
          <cell r="AI415">
            <v>45078.37</v>
          </cell>
          <cell r="AJ415">
            <v>45100.29</v>
          </cell>
          <cell r="AK415">
            <v>43681.85</v>
          </cell>
          <cell r="AL415">
            <v>44560.05</v>
          </cell>
          <cell r="AM415">
            <v>51895.26</v>
          </cell>
          <cell r="AN415">
            <v>48290.18</v>
          </cell>
          <cell r="AO415">
            <v>46370.6</v>
          </cell>
          <cell r="AP415">
            <v>51857.9</v>
          </cell>
          <cell r="AQ415">
            <v>45894.28</v>
          </cell>
          <cell r="AR415">
            <v>48890.29</v>
          </cell>
          <cell r="AS415">
            <v>47940.24</v>
          </cell>
          <cell r="AT415">
            <v>45835.22</v>
          </cell>
          <cell r="AU415">
            <v>55730.46</v>
          </cell>
          <cell r="AV415">
            <v>39225.379999999997</v>
          </cell>
          <cell r="AW415">
            <v>47093.88</v>
          </cell>
          <cell r="AX415">
            <v>48977.65</v>
          </cell>
          <cell r="AY415">
            <v>45916.75</v>
          </cell>
          <cell r="AZ415">
            <v>55552.4</v>
          </cell>
          <cell r="BA415">
            <v>50463.57</v>
          </cell>
          <cell r="BB415">
            <v>54320.78</v>
          </cell>
          <cell r="BC415">
            <v>46800.44</v>
          </cell>
          <cell r="BD415">
            <v>53282.89</v>
          </cell>
          <cell r="BE415">
            <v>48976.49</v>
          </cell>
          <cell r="BF415">
            <v>54864.81</v>
          </cell>
          <cell r="BG415">
            <v>53569.14</v>
          </cell>
          <cell r="BH415">
            <v>48489.71</v>
          </cell>
          <cell r="BI415">
            <v>52913.8</v>
          </cell>
          <cell r="BJ415">
            <v>50753.35</v>
          </cell>
          <cell r="BK415">
            <v>49921.96</v>
          </cell>
          <cell r="BL415">
            <v>67813.259999999995</v>
          </cell>
          <cell r="BM415">
            <v>58988.58</v>
          </cell>
          <cell r="BN415">
            <v>60003.63</v>
          </cell>
          <cell r="BO415">
            <v>63545.760000000002</v>
          </cell>
          <cell r="BP415">
            <v>70011.839999999997</v>
          </cell>
          <cell r="BQ415">
            <v>57839.12</v>
          </cell>
          <cell r="BR415">
            <v>64378.720000000001</v>
          </cell>
          <cell r="BS415">
            <v>61318.49</v>
          </cell>
          <cell r="BT415">
            <v>53879.14</v>
          </cell>
          <cell r="BU415">
            <v>80807.740000000005</v>
          </cell>
          <cell r="BV415">
            <v>55151.79</v>
          </cell>
          <cell r="BW415">
            <v>60953.88</v>
          </cell>
          <cell r="BX415">
            <v>58092.93</v>
          </cell>
          <cell r="BY415">
            <v>55786.31</v>
          </cell>
          <cell r="BZ415">
            <v>62386.01</v>
          </cell>
          <cell r="CA415">
            <v>61288</v>
          </cell>
          <cell r="CB415">
            <v>50979.43</v>
          </cell>
          <cell r="CC415">
            <v>57751.040000000001</v>
          </cell>
          <cell r="CD415">
            <v>59407.17</v>
          </cell>
          <cell r="CE415">
            <v>45017.7</v>
          </cell>
          <cell r="CF415">
            <v>60127.02</v>
          </cell>
          <cell r="CG415">
            <v>55390.38</v>
          </cell>
          <cell r="CH415">
            <v>57884.87</v>
          </cell>
          <cell r="CI415">
            <v>67681.19</v>
          </cell>
          <cell r="CJ415">
            <v>71463.210000000006</v>
          </cell>
          <cell r="CK415">
            <v>62139.11</v>
          </cell>
          <cell r="CL415">
            <v>68326.92</v>
          </cell>
          <cell r="CM415">
            <v>62333.22</v>
          </cell>
          <cell r="CN415">
            <v>63059.3</v>
          </cell>
          <cell r="CO415">
            <v>69369.61</v>
          </cell>
          <cell r="CP415">
            <v>71376.98</v>
          </cell>
          <cell r="CQ415">
            <v>67862.899999999994</v>
          </cell>
          <cell r="CR415">
            <v>69128.91</v>
          </cell>
          <cell r="CS415">
            <v>70004.47</v>
          </cell>
          <cell r="CT415">
            <v>71057.429999999993</v>
          </cell>
          <cell r="CU415">
            <v>76350.23</v>
          </cell>
          <cell r="CV415">
            <v>71162.91</v>
          </cell>
          <cell r="CW415">
            <v>64529.7</v>
          </cell>
          <cell r="CX415">
            <v>76903.61</v>
          </cell>
          <cell r="CY415">
            <v>64986.01</v>
          </cell>
          <cell r="CZ415">
            <v>68656.66</v>
          </cell>
          <cell r="DA415">
            <v>67499.72</v>
          </cell>
          <cell r="DB415">
            <v>64062.91</v>
          </cell>
          <cell r="DC415">
            <v>75075.320000000007</v>
          </cell>
          <cell r="DD415">
            <v>62439.55</v>
          </cell>
          <cell r="DE415">
            <v>72601.13</v>
          </cell>
          <cell r="DF415">
            <v>77941.52</v>
          </cell>
          <cell r="DG415">
            <v>73211.539999999994</v>
          </cell>
          <cell r="DH415">
            <v>839070.58000000019</v>
          </cell>
        </row>
        <row r="416">
          <cell r="A416" t="str">
            <v>8903008</v>
          </cell>
          <cell r="B416" t="str">
            <v>8903008</v>
          </cell>
          <cell r="C416" t="str">
            <v>FICO Reconciliation - HR Empl Relations Allocation</v>
          </cell>
          <cell r="BX416">
            <v>69676.479999999996</v>
          </cell>
          <cell r="BY416">
            <v>63791.99</v>
          </cell>
          <cell r="BZ416">
            <v>72689.23</v>
          </cell>
          <cell r="CA416">
            <v>51769.83</v>
          </cell>
          <cell r="CB416">
            <v>36018.269999999997</v>
          </cell>
          <cell r="CC416">
            <v>107477.14</v>
          </cell>
          <cell r="CD416">
            <v>67810.899999999994</v>
          </cell>
          <cell r="CE416">
            <v>-14656.01</v>
          </cell>
          <cell r="CF416">
            <v>48986.37</v>
          </cell>
          <cell r="CG416">
            <v>47404.81</v>
          </cell>
          <cell r="CH416">
            <v>32032.93</v>
          </cell>
          <cell r="CI416">
            <v>50338.94</v>
          </cell>
          <cell r="CJ416">
            <v>43070.54</v>
          </cell>
          <cell r="CK416">
            <v>32904.04</v>
          </cell>
          <cell r="CL416">
            <v>35779.839999999997</v>
          </cell>
          <cell r="CM416">
            <v>46205.09</v>
          </cell>
          <cell r="CN416">
            <v>37742.239999999998</v>
          </cell>
          <cell r="CO416">
            <v>43489.1</v>
          </cell>
          <cell r="CP416">
            <v>33599.65</v>
          </cell>
          <cell r="CQ416">
            <v>47414.75</v>
          </cell>
          <cell r="CR416">
            <v>39211.86</v>
          </cell>
          <cell r="CS416">
            <v>30765.89</v>
          </cell>
          <cell r="CT416">
            <v>32228.74</v>
          </cell>
          <cell r="CU416">
            <v>36650.21</v>
          </cell>
          <cell r="CV416">
            <v>3230.79</v>
          </cell>
          <cell r="CW416">
            <v>3164.49</v>
          </cell>
          <cell r="CX416">
            <v>4365.3599999999997</v>
          </cell>
          <cell r="CY416">
            <v>4150.1400000000003</v>
          </cell>
          <cell r="CZ416">
            <v>3494.27</v>
          </cell>
          <cell r="DA416">
            <v>4427.8</v>
          </cell>
          <cell r="DB416">
            <v>3499.99</v>
          </cell>
          <cell r="DC416">
            <v>3714.88</v>
          </cell>
          <cell r="DD416">
            <v>3773.73</v>
          </cell>
          <cell r="DE416">
            <v>1543.36</v>
          </cell>
          <cell r="DF416">
            <v>3366.15</v>
          </cell>
          <cell r="DG416">
            <v>3687.7</v>
          </cell>
          <cell r="DH416">
            <v>42418.659999999996</v>
          </cell>
        </row>
        <row r="417">
          <cell r="A417" t="str">
            <v>8903009</v>
          </cell>
          <cell r="B417" t="str">
            <v>8903009</v>
          </cell>
          <cell r="C417" t="str">
            <v>FICO Reconciliation - Emergency Mgmt Allocation</v>
          </cell>
          <cell r="BX417">
            <v>10501.5</v>
          </cell>
          <cell r="BY417">
            <v>6035.67</v>
          </cell>
          <cell r="BZ417">
            <v>7728.33</v>
          </cell>
          <cell r="CA417">
            <v>14038.45</v>
          </cell>
          <cell r="CB417">
            <v>6038.49</v>
          </cell>
          <cell r="CC417">
            <v>6564.1</v>
          </cell>
          <cell r="CD417">
            <v>7270.66</v>
          </cell>
          <cell r="CE417">
            <v>7242.92</v>
          </cell>
          <cell r="CF417">
            <v>6244.52</v>
          </cell>
          <cell r="CG417">
            <v>6065.88</v>
          </cell>
          <cell r="CH417">
            <v>6078.21</v>
          </cell>
          <cell r="CI417">
            <v>5899.17</v>
          </cell>
          <cell r="CJ417">
            <v>11340.66</v>
          </cell>
          <cell r="CK417">
            <v>14157.05</v>
          </cell>
          <cell r="CL417">
            <v>7435.59</v>
          </cell>
          <cell r="CM417">
            <v>7240.72</v>
          </cell>
          <cell r="CN417">
            <v>7136.07</v>
          </cell>
          <cell r="CO417">
            <v>7306.08</v>
          </cell>
          <cell r="CP417">
            <v>6358.42</v>
          </cell>
          <cell r="CQ417">
            <v>11816.95</v>
          </cell>
          <cell r="CR417">
            <v>7512.92</v>
          </cell>
          <cell r="CS417">
            <v>7387.39</v>
          </cell>
          <cell r="CT417">
            <v>7661.94</v>
          </cell>
          <cell r="CU417">
            <v>3624.46</v>
          </cell>
          <cell r="CV417">
            <v>12421.39</v>
          </cell>
          <cell r="CW417">
            <v>15550.17</v>
          </cell>
          <cell r="CX417">
            <v>9145.18</v>
          </cell>
          <cell r="CY417">
            <v>8767.59</v>
          </cell>
          <cell r="CZ417">
            <v>8671.2900000000009</v>
          </cell>
          <cell r="DA417">
            <v>9132.57</v>
          </cell>
          <cell r="DB417">
            <v>13670.37</v>
          </cell>
          <cell r="DC417">
            <v>5668.22</v>
          </cell>
          <cell r="DD417">
            <v>5945.79</v>
          </cell>
          <cell r="DE417">
            <v>6557.91</v>
          </cell>
          <cell r="DF417">
            <v>5957.27</v>
          </cell>
          <cell r="DG417">
            <v>5222.49</v>
          </cell>
          <cell r="DH417">
            <v>106710.24</v>
          </cell>
        </row>
        <row r="418">
          <cell r="A418" t="str">
            <v>8903010</v>
          </cell>
          <cell r="B418" t="str">
            <v>8903010</v>
          </cell>
          <cell r="C418" t="str">
            <v>FICO Reconciliation - Corp Comm Allocation</v>
          </cell>
          <cell r="BX418">
            <v>17308.490000000002</v>
          </cell>
          <cell r="BY418">
            <v>40628.129999999997</v>
          </cell>
          <cell r="BZ418">
            <v>41140.54</v>
          </cell>
          <cell r="CA418">
            <v>36654.57</v>
          </cell>
          <cell r="CB418">
            <v>40525.599999999999</v>
          </cell>
          <cell r="CC418">
            <v>101951.35</v>
          </cell>
          <cell r="CD418">
            <v>60120</v>
          </cell>
          <cell r="CE418">
            <v>47392.05</v>
          </cell>
          <cell r="CF418">
            <v>74892.62</v>
          </cell>
          <cell r="CG418">
            <v>49937.81</v>
          </cell>
          <cell r="CH418">
            <v>49990.080000000002</v>
          </cell>
          <cell r="CI418">
            <v>65647.67</v>
          </cell>
          <cell r="CJ418">
            <v>37962.76</v>
          </cell>
          <cell r="CK418">
            <v>34850.239999999998</v>
          </cell>
          <cell r="CL418">
            <v>45163.6</v>
          </cell>
          <cell r="CM418">
            <v>37496.410000000003</v>
          </cell>
          <cell r="CN418">
            <v>43946.14</v>
          </cell>
          <cell r="CO418">
            <v>45511.37</v>
          </cell>
          <cell r="CP418">
            <v>41512.480000000003</v>
          </cell>
          <cell r="CQ418">
            <v>40012.18</v>
          </cell>
          <cell r="CR418">
            <v>35265.449999999997</v>
          </cell>
          <cell r="CS418">
            <v>37907.199999999997</v>
          </cell>
          <cell r="CT418">
            <v>38112.15</v>
          </cell>
          <cell r="CU418">
            <v>54419.78</v>
          </cell>
          <cell r="CV418">
            <v>0</v>
          </cell>
          <cell r="CW418">
            <v>0</v>
          </cell>
          <cell r="CX418">
            <v>0</v>
          </cell>
          <cell r="CY418">
            <v>0</v>
          </cell>
          <cell r="CZ418">
            <v>0</v>
          </cell>
          <cell r="DA418">
            <v>0</v>
          </cell>
          <cell r="DB418">
            <v>0</v>
          </cell>
          <cell r="DC418">
            <v>0</v>
          </cell>
          <cell r="DD418">
            <v>0</v>
          </cell>
          <cell r="DE418">
            <v>0</v>
          </cell>
          <cell r="DF418">
            <v>0</v>
          </cell>
          <cell r="DG418">
            <v>0</v>
          </cell>
          <cell r="DH418">
            <v>0</v>
          </cell>
        </row>
        <row r="419">
          <cell r="A419" t="str">
            <v>8903011</v>
          </cell>
          <cell r="B419" t="str">
            <v>8903011</v>
          </cell>
          <cell r="C419" t="str">
            <v>FICO Reconciliation - Accounts Payable Allocation</v>
          </cell>
          <cell r="BX419">
            <v>29321.34</v>
          </cell>
          <cell r="BY419">
            <v>23465.9</v>
          </cell>
          <cell r="BZ419">
            <v>28829.52</v>
          </cell>
          <cell r="CA419">
            <v>26703.19</v>
          </cell>
          <cell r="CB419">
            <v>24467.439999999999</v>
          </cell>
          <cell r="CC419">
            <v>24704.7</v>
          </cell>
          <cell r="CD419">
            <v>26771</v>
          </cell>
          <cell r="CE419">
            <v>24617.599999999999</v>
          </cell>
          <cell r="CF419">
            <v>25660.22</v>
          </cell>
          <cell r="CG419">
            <v>26223.09</v>
          </cell>
          <cell r="CH419">
            <v>23599.24</v>
          </cell>
          <cell r="CI419">
            <v>30382.59</v>
          </cell>
          <cell r="CJ419">
            <v>31059.54</v>
          </cell>
          <cell r="CK419">
            <v>31505.69</v>
          </cell>
          <cell r="CL419">
            <v>35831.839999999997</v>
          </cell>
          <cell r="CM419">
            <v>35104.82</v>
          </cell>
          <cell r="CN419">
            <v>34791.31</v>
          </cell>
          <cell r="CO419">
            <v>38751.06</v>
          </cell>
          <cell r="CP419">
            <v>45526.93</v>
          </cell>
          <cell r="CQ419">
            <v>35769.660000000003</v>
          </cell>
          <cell r="CR419">
            <v>36028.69</v>
          </cell>
          <cell r="CS419">
            <v>0</v>
          </cell>
          <cell r="CT419">
            <v>0</v>
          </cell>
          <cell r="CU419">
            <v>128192.9</v>
          </cell>
          <cell r="CV419">
            <v>46846</v>
          </cell>
          <cell r="CW419">
            <v>50799.71</v>
          </cell>
          <cell r="CX419">
            <v>51027.34</v>
          </cell>
          <cell r="CY419">
            <v>56132.91</v>
          </cell>
          <cell r="CZ419">
            <v>54509.22</v>
          </cell>
          <cell r="DA419">
            <v>48793.43</v>
          </cell>
          <cell r="DB419">
            <v>69206.3</v>
          </cell>
          <cell r="DC419">
            <v>41320.370000000003</v>
          </cell>
          <cell r="DD419">
            <v>52083.62</v>
          </cell>
          <cell r="DE419">
            <v>45906.31</v>
          </cell>
          <cell r="DF419">
            <v>45938.43</v>
          </cell>
          <cell r="DG419">
            <v>54084.58</v>
          </cell>
          <cell r="DH419">
            <v>616648.22</v>
          </cell>
        </row>
        <row r="420">
          <cell r="A420" t="str">
            <v>8903012</v>
          </cell>
          <cell r="B420" t="str">
            <v>8903012</v>
          </cell>
          <cell r="C420" t="str">
            <v>FICO Reconciliation - Claims Allocation</v>
          </cell>
          <cell r="BX420">
            <v>96590.01</v>
          </cell>
          <cell r="BY420">
            <v>28834.63</v>
          </cell>
          <cell r="BZ420">
            <v>39380.35</v>
          </cell>
          <cell r="CA420">
            <v>31410.17</v>
          </cell>
          <cell r="CB420">
            <v>30151.71</v>
          </cell>
          <cell r="CC420">
            <v>31439.26</v>
          </cell>
          <cell r="CD420">
            <v>33396.5</v>
          </cell>
          <cell r="CE420">
            <v>29919.02</v>
          </cell>
          <cell r="CF420">
            <v>31615.040000000001</v>
          </cell>
          <cell r="CG420">
            <v>31013.39</v>
          </cell>
          <cell r="CH420">
            <v>29157.19</v>
          </cell>
          <cell r="CI420">
            <v>32891.32</v>
          </cell>
          <cell r="CJ420">
            <v>114624.06</v>
          </cell>
          <cell r="CK420">
            <v>-21790.74</v>
          </cell>
          <cell r="CL420">
            <v>46755.53</v>
          </cell>
          <cell r="CM420">
            <v>43038.559999999998</v>
          </cell>
          <cell r="CN420">
            <v>38165.83</v>
          </cell>
          <cell r="CO420">
            <v>32853.120000000003</v>
          </cell>
          <cell r="CP420">
            <v>44543.27</v>
          </cell>
          <cell r="CQ420">
            <v>39437.97</v>
          </cell>
          <cell r="CR420">
            <v>39118.089999999997</v>
          </cell>
          <cell r="CS420">
            <v>31728.240000000002</v>
          </cell>
          <cell r="CT420">
            <v>45164.47</v>
          </cell>
          <cell r="CU420">
            <v>41109.14</v>
          </cell>
          <cell r="CV420">
            <v>36957.9</v>
          </cell>
          <cell r="CW420">
            <v>40220.720000000001</v>
          </cell>
          <cell r="CX420">
            <v>45067.02</v>
          </cell>
          <cell r="CY420">
            <v>41889.22</v>
          </cell>
          <cell r="CZ420">
            <v>43540.68</v>
          </cell>
          <cell r="DA420">
            <v>43458.01</v>
          </cell>
          <cell r="DB420">
            <v>41841.440000000002</v>
          </cell>
          <cell r="DC420">
            <v>45129.54</v>
          </cell>
          <cell r="DD420">
            <v>45587.21</v>
          </cell>
          <cell r="DE420">
            <v>41840.26</v>
          </cell>
          <cell r="DF420">
            <v>44846.02</v>
          </cell>
          <cell r="DG420">
            <v>43880.23</v>
          </cell>
          <cell r="DH420">
            <v>514258.25</v>
          </cell>
        </row>
        <row r="421">
          <cell r="A421" t="str">
            <v>8903100</v>
          </cell>
          <cell r="B421" t="str">
            <v>8903100</v>
          </cell>
          <cell r="C421" t="str">
            <v>FICO Rec TSI Capital</v>
          </cell>
          <cell r="U421">
            <v>-14502.81</v>
          </cell>
          <cell r="V421">
            <v>-19583.3</v>
          </cell>
          <cell r="W421">
            <v>-2733</v>
          </cell>
          <cell r="X421">
            <v>-41427.71</v>
          </cell>
          <cell r="Y421">
            <v>-19095.740000000002</v>
          </cell>
          <cell r="Z421">
            <v>-59526.38</v>
          </cell>
          <cell r="AA421">
            <v>-47562.22</v>
          </cell>
          <cell r="AB421">
            <v>0</v>
          </cell>
          <cell r="AC421">
            <v>8007.07</v>
          </cell>
          <cell r="AD421">
            <v>20510.61</v>
          </cell>
          <cell r="AE421">
            <v>8858.57</v>
          </cell>
          <cell r="AF421">
            <v>5304.18</v>
          </cell>
          <cell r="AG421">
            <v>22000.57</v>
          </cell>
          <cell r="AH421">
            <v>21356.69</v>
          </cell>
          <cell r="AI421">
            <v>3157.7</v>
          </cell>
          <cell r="AJ421">
            <v>2104.58</v>
          </cell>
          <cell r="AK421">
            <v>6158.65</v>
          </cell>
          <cell r="AL421">
            <v>7324.83</v>
          </cell>
          <cell r="AM421">
            <v>7128.4</v>
          </cell>
          <cell r="AN421">
            <v>3416.85</v>
          </cell>
          <cell r="AO421">
            <v>6576.02</v>
          </cell>
          <cell r="AP421">
            <v>2900.04</v>
          </cell>
          <cell r="AQ421">
            <v>112.17</v>
          </cell>
          <cell r="AR421">
            <v>10912.3</v>
          </cell>
          <cell r="AS421">
            <v>4043.72</v>
          </cell>
          <cell r="AT421">
            <v>5305.79</v>
          </cell>
          <cell r="AU421">
            <v>4728.67</v>
          </cell>
          <cell r="AV421">
            <v>14364.27</v>
          </cell>
          <cell r="AW421">
            <v>16508.47</v>
          </cell>
          <cell r="AX421">
            <v>8787.82</v>
          </cell>
          <cell r="AY421">
            <v>11286.25</v>
          </cell>
          <cell r="AZ421">
            <v>25831.16</v>
          </cell>
          <cell r="BA421">
            <v>30008.63</v>
          </cell>
          <cell r="BB421">
            <v>45293.87</v>
          </cell>
          <cell r="BC421">
            <v>42111.41</v>
          </cell>
          <cell r="BD421">
            <v>36318.32</v>
          </cell>
          <cell r="BE421">
            <v>41362.68</v>
          </cell>
          <cell r="BF421">
            <v>51961.25</v>
          </cell>
          <cell r="BG421">
            <v>63976.21</v>
          </cell>
          <cell r="BH421">
            <v>70044.23</v>
          </cell>
          <cell r="BI421">
            <v>87887.76</v>
          </cell>
          <cell r="BJ421">
            <v>90977.07</v>
          </cell>
          <cell r="BK421">
            <v>148825.29999999999</v>
          </cell>
          <cell r="BL421">
            <v>91991.86</v>
          </cell>
          <cell r="BM421">
            <v>73523.990000000005</v>
          </cell>
          <cell r="BN421">
            <v>65113.62</v>
          </cell>
          <cell r="BO421">
            <v>67375.94</v>
          </cell>
          <cell r="BP421">
            <v>70973.240000000005</v>
          </cell>
          <cell r="BQ421">
            <v>61015.34</v>
          </cell>
          <cell r="BR421">
            <v>61102.23</v>
          </cell>
          <cell r="BS421">
            <v>67805.45</v>
          </cell>
          <cell r="BT421">
            <v>73825.850000000006</v>
          </cell>
          <cell r="BU421">
            <v>57799.55</v>
          </cell>
          <cell r="BV421">
            <v>56142.5</v>
          </cell>
          <cell r="BW421">
            <v>51836.24</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Q421">
            <v>0</v>
          </cell>
          <cell r="CR421">
            <v>0</v>
          </cell>
          <cell r="CS421">
            <v>0</v>
          </cell>
          <cell r="CT421">
            <v>0</v>
          </cell>
          <cell r="CU421">
            <v>0</v>
          </cell>
          <cell r="CV421">
            <v>0</v>
          </cell>
          <cell r="CW421">
            <v>0</v>
          </cell>
          <cell r="CX421">
            <v>0</v>
          </cell>
          <cell r="CY421">
            <v>0</v>
          </cell>
          <cell r="CZ421">
            <v>0</v>
          </cell>
          <cell r="DA421">
            <v>0</v>
          </cell>
          <cell r="DB421">
            <v>0</v>
          </cell>
          <cell r="DC421">
            <v>0</v>
          </cell>
          <cell r="DD421">
            <v>0</v>
          </cell>
          <cell r="DE421">
            <v>0</v>
          </cell>
          <cell r="DF421">
            <v>0</v>
          </cell>
          <cell r="DG421">
            <v>0</v>
          </cell>
          <cell r="DH421">
            <v>0</v>
          </cell>
        </row>
        <row r="422">
          <cell r="A422" t="str">
            <v>8999998</v>
          </cell>
          <cell r="B422" t="str">
            <v>8999998</v>
          </cell>
          <cell r="C422" t="str">
            <v>Div sent to RE</v>
          </cell>
          <cell r="D422">
            <v>7357286.6799999997</v>
          </cell>
          <cell r="E422">
            <v>0</v>
          </cell>
          <cell r="F422">
            <v>0</v>
          </cell>
          <cell r="G422">
            <v>11948603.68</v>
          </cell>
          <cell r="H422">
            <v>0</v>
          </cell>
          <cell r="I422">
            <v>0</v>
          </cell>
          <cell r="J422">
            <v>9971893.4700000007</v>
          </cell>
          <cell r="K422">
            <v>0</v>
          </cell>
          <cell r="L422">
            <v>0</v>
          </cell>
          <cell r="M422">
            <v>5874136.4699999997</v>
          </cell>
          <cell r="N422">
            <v>0</v>
          </cell>
          <cell r="O422">
            <v>0</v>
          </cell>
          <cell r="P422">
            <v>0</v>
          </cell>
          <cell r="Q422">
            <v>6579361.9699999997</v>
          </cell>
          <cell r="R422">
            <v>0</v>
          </cell>
          <cell r="S422">
            <v>14236193.27</v>
          </cell>
          <cell r="T422">
            <v>0</v>
          </cell>
          <cell r="U422">
            <v>0</v>
          </cell>
          <cell r="V422">
            <v>8836348.5500000007</v>
          </cell>
          <cell r="W422">
            <v>0</v>
          </cell>
          <cell r="X422">
            <v>0</v>
          </cell>
          <cell r="Y422">
            <v>0</v>
          </cell>
          <cell r="Z422">
            <v>7141083.0599999996</v>
          </cell>
          <cell r="AA422">
            <v>0</v>
          </cell>
          <cell r="AB422">
            <v>0</v>
          </cell>
          <cell r="AC422">
            <v>5832498.4000000004</v>
          </cell>
          <cell r="AD422">
            <v>0</v>
          </cell>
          <cell r="AE422">
            <v>0</v>
          </cell>
          <cell r="AF422">
            <v>13698517.41</v>
          </cell>
          <cell r="AG422">
            <v>8092257.4400000004</v>
          </cell>
          <cell r="AH422">
            <v>0</v>
          </cell>
          <cell r="AI422">
            <v>0</v>
          </cell>
          <cell r="AJ422">
            <v>0</v>
          </cell>
          <cell r="AK422">
            <v>0</v>
          </cell>
          <cell r="AL422">
            <v>5958301.9699999997</v>
          </cell>
          <cell r="AM422">
            <v>0</v>
          </cell>
          <cell r="AN422">
            <v>0</v>
          </cell>
          <cell r="AO422">
            <v>8007312.5300000003</v>
          </cell>
          <cell r="AP422">
            <v>0</v>
          </cell>
          <cell r="AQ422">
            <v>0</v>
          </cell>
          <cell r="AR422">
            <v>11289288.970000001</v>
          </cell>
          <cell r="AS422">
            <v>0</v>
          </cell>
          <cell r="AT422">
            <v>0</v>
          </cell>
          <cell r="AU422">
            <v>12086132.140000001</v>
          </cell>
          <cell r="AV422">
            <v>0</v>
          </cell>
          <cell r="AW422">
            <v>0</v>
          </cell>
          <cell r="AX422">
            <v>7337410.4100000001</v>
          </cell>
          <cell r="AY422">
            <v>0</v>
          </cell>
          <cell r="AZ422">
            <v>0</v>
          </cell>
          <cell r="BA422">
            <v>14365517.640000001</v>
          </cell>
          <cell r="BB422">
            <v>0</v>
          </cell>
          <cell r="BC422">
            <v>0</v>
          </cell>
          <cell r="BD422">
            <v>15456143.34</v>
          </cell>
          <cell r="BE422">
            <v>0</v>
          </cell>
          <cell r="BF422">
            <v>0</v>
          </cell>
          <cell r="BG422">
            <v>11089440.68</v>
          </cell>
          <cell r="BH422">
            <v>0</v>
          </cell>
          <cell r="BI422">
            <v>0</v>
          </cell>
          <cell r="BJ422">
            <v>9335324.0299999993</v>
          </cell>
          <cell r="BK422">
            <v>0</v>
          </cell>
          <cell r="BL422">
            <v>0</v>
          </cell>
          <cell r="BM422">
            <v>11818492.35</v>
          </cell>
          <cell r="BN422">
            <v>0</v>
          </cell>
          <cell r="BO422">
            <v>0</v>
          </cell>
          <cell r="BP422">
            <v>17980658.050000001</v>
          </cell>
          <cell r="BQ422">
            <v>0</v>
          </cell>
          <cell r="BR422">
            <v>0</v>
          </cell>
          <cell r="BS422">
            <v>13575264.68</v>
          </cell>
          <cell r="BT422">
            <v>0</v>
          </cell>
          <cell r="BU422">
            <v>0</v>
          </cell>
          <cell r="BV422">
            <v>10584558</v>
          </cell>
          <cell r="BW422">
            <v>0</v>
          </cell>
          <cell r="BX422">
            <v>0</v>
          </cell>
          <cell r="BY422">
            <v>11888651</v>
          </cell>
          <cell r="BZ422">
            <v>0</v>
          </cell>
          <cell r="CA422">
            <v>0</v>
          </cell>
          <cell r="CB422">
            <v>18460868</v>
          </cell>
          <cell r="CC422">
            <v>0</v>
          </cell>
          <cell r="CD422">
            <v>0</v>
          </cell>
          <cell r="CE422">
            <v>10528868</v>
          </cell>
          <cell r="CF422">
            <v>0</v>
          </cell>
          <cell r="CG422">
            <v>0</v>
          </cell>
          <cell r="CH422">
            <v>10269314</v>
          </cell>
          <cell r="CI422">
            <v>0</v>
          </cell>
          <cell r="CJ422">
            <v>0</v>
          </cell>
          <cell r="CK422">
            <v>12656339</v>
          </cell>
          <cell r="CL422">
            <v>0</v>
          </cell>
          <cell r="CM422">
            <v>27095926</v>
          </cell>
          <cell r="CN422">
            <v>0</v>
          </cell>
          <cell r="CO422">
            <v>0</v>
          </cell>
          <cell r="CP422">
            <v>0</v>
          </cell>
          <cell r="CQ422">
            <v>18659773</v>
          </cell>
          <cell r="CR422">
            <v>0</v>
          </cell>
          <cell r="CS422">
            <v>0</v>
          </cell>
          <cell r="CT422">
            <v>14758057</v>
          </cell>
          <cell r="CU422">
            <v>0</v>
          </cell>
          <cell r="CV422">
            <v>0</v>
          </cell>
          <cell r="CW422">
            <v>16769173</v>
          </cell>
          <cell r="CX422">
            <v>0</v>
          </cell>
          <cell r="CY422">
            <v>29543003</v>
          </cell>
          <cell r="CZ422">
            <v>0</v>
          </cell>
          <cell r="DA422">
            <v>0</v>
          </cell>
          <cell r="DB422">
            <v>0</v>
          </cell>
          <cell r="DC422">
            <v>19623044</v>
          </cell>
          <cell r="DD422">
            <v>0</v>
          </cell>
          <cell r="DE422">
            <v>16227366</v>
          </cell>
          <cell r="DF422">
            <v>0</v>
          </cell>
          <cell r="DG422">
            <v>0</v>
          </cell>
          <cell r="DH422">
            <v>82162586</v>
          </cell>
        </row>
        <row r="423">
          <cell r="A423" t="str">
            <v>8999999</v>
          </cell>
          <cell r="B423" t="str">
            <v>8999999</v>
          </cell>
          <cell r="C423" t="str">
            <v>Inc Summary Offset</v>
          </cell>
          <cell r="D423">
            <v>-2181090.04</v>
          </cell>
          <cell r="E423">
            <v>4502626.84</v>
          </cell>
          <cell r="F423">
            <v>4881883.5599999996</v>
          </cell>
          <cell r="G423">
            <v>-8672808.1699999999</v>
          </cell>
          <cell r="H423">
            <v>1814214.4</v>
          </cell>
          <cell r="I423">
            <v>2478542.08</v>
          </cell>
          <cell r="J423">
            <v>-8287360.1799999997</v>
          </cell>
          <cell r="K423">
            <v>1711061.1</v>
          </cell>
          <cell r="L423">
            <v>1334666.74</v>
          </cell>
          <cell r="M423">
            <v>-3454548.84</v>
          </cell>
          <cell r="N423">
            <v>2825107.6</v>
          </cell>
          <cell r="O423">
            <v>3729886.48</v>
          </cell>
          <cell r="P423">
            <v>5545677.0499999998</v>
          </cell>
          <cell r="Q423">
            <v>-1618732.23</v>
          </cell>
          <cell r="R423">
            <v>4121482.69</v>
          </cell>
          <cell r="S423">
            <v>-11865145.140000001</v>
          </cell>
          <cell r="T423">
            <v>2343817.73</v>
          </cell>
          <cell r="U423">
            <v>2795820.78</v>
          </cell>
          <cell r="V423">
            <v>-7002762.9199999999</v>
          </cell>
          <cell r="W423">
            <v>2511676.65</v>
          </cell>
          <cell r="X423">
            <v>1860447.41</v>
          </cell>
          <cell r="Y423">
            <v>2165009.88</v>
          </cell>
          <cell r="Z423">
            <v>-5334041.95</v>
          </cell>
          <cell r="AA423">
            <v>2949033.29</v>
          </cell>
          <cell r="AB423">
            <v>5297380.29</v>
          </cell>
          <cell r="AC423">
            <v>-380394.57</v>
          </cell>
          <cell r="AD423">
            <v>2373165.4700000002</v>
          </cell>
          <cell r="AE423">
            <v>2946014.46</v>
          </cell>
          <cell r="AF423">
            <v>-10925439.9</v>
          </cell>
          <cell r="AG423">
            <v>-6769928.9000000004</v>
          </cell>
          <cell r="AH423">
            <v>2616097.65</v>
          </cell>
          <cell r="AI423">
            <v>2019875.78</v>
          </cell>
          <cell r="AJ423">
            <v>1958976.08</v>
          </cell>
          <cell r="AK423">
            <v>2943980.86</v>
          </cell>
          <cell r="AL423">
            <v>-2853946.38</v>
          </cell>
          <cell r="AM423">
            <v>2053249.05</v>
          </cell>
          <cell r="AN423">
            <v>5364828.88</v>
          </cell>
          <cell r="AO423">
            <v>-4136101.49</v>
          </cell>
          <cell r="AP423">
            <v>4536791.43</v>
          </cell>
          <cell r="AQ423">
            <v>3830968.03</v>
          </cell>
          <cell r="AR423">
            <v>-7570916.29</v>
          </cell>
          <cell r="AS423">
            <v>2081619.07</v>
          </cell>
          <cell r="AT423">
            <v>2758883.76</v>
          </cell>
          <cell r="AU423">
            <v>-9589224.5600000005</v>
          </cell>
          <cell r="AV423">
            <v>2707918.43</v>
          </cell>
          <cell r="AW423">
            <v>2630149.91</v>
          </cell>
          <cell r="AX423">
            <v>-3894080.18</v>
          </cell>
          <cell r="AY423">
            <v>5584119.0700000003</v>
          </cell>
          <cell r="AZ423">
            <v>9302106.2899999991</v>
          </cell>
          <cell r="BA423">
            <v>-9862049.3100000005</v>
          </cell>
          <cell r="BB423">
            <v>1650568.72</v>
          </cell>
          <cell r="BC423">
            <v>5304901.6399999997</v>
          </cell>
          <cell r="BD423">
            <v>-12767979.300000001</v>
          </cell>
          <cell r="BE423">
            <v>3096375</v>
          </cell>
          <cell r="BF423">
            <v>3105270.2</v>
          </cell>
          <cell r="BG423">
            <v>-8557337.3599999994</v>
          </cell>
          <cell r="BH423">
            <v>3697950.51</v>
          </cell>
          <cell r="BI423">
            <v>2803273.23</v>
          </cell>
          <cell r="BJ423">
            <v>-5813460.6699999999</v>
          </cell>
          <cell r="BK423">
            <v>5493355.7599999998</v>
          </cell>
          <cell r="BL423">
            <v>6617945.8899999997</v>
          </cell>
          <cell r="BM423">
            <v>-5951830.5</v>
          </cell>
          <cell r="BN423">
            <v>5496050.3099999996</v>
          </cell>
          <cell r="BO423">
            <v>5226930.1900000004</v>
          </cell>
          <cell r="BP423">
            <v>-13397496.93</v>
          </cell>
          <cell r="BQ423">
            <v>3765173.37</v>
          </cell>
          <cell r="BR423">
            <v>3058815.38</v>
          </cell>
          <cell r="BS423">
            <v>-9733380.8399999999</v>
          </cell>
          <cell r="BT423">
            <v>3683859.63</v>
          </cell>
          <cell r="BU423">
            <v>3425609.09</v>
          </cell>
          <cell r="BV423">
            <v>-6182919.29</v>
          </cell>
          <cell r="BW423">
            <v>4061403.69</v>
          </cell>
          <cell r="BX423">
            <v>7675617.6200000001</v>
          </cell>
          <cell r="BY423">
            <v>-5948184.0800000001</v>
          </cell>
          <cell r="BZ423">
            <v>4844783.18</v>
          </cell>
          <cell r="CA423">
            <v>3710728.28</v>
          </cell>
          <cell r="CB423">
            <v>-14852521.16</v>
          </cell>
          <cell r="CC423">
            <v>3209793.14</v>
          </cell>
          <cell r="CD423">
            <v>3096133.42</v>
          </cell>
          <cell r="CE423">
            <v>-6771045.1500000004</v>
          </cell>
          <cell r="CF423">
            <v>3415357.65</v>
          </cell>
          <cell r="CG423">
            <v>2946877.3</v>
          </cell>
          <cell r="CH423">
            <v>-5179416.92</v>
          </cell>
          <cell r="CI423">
            <v>4619564.9800000004</v>
          </cell>
          <cell r="CJ423">
            <v>11395487.33</v>
          </cell>
          <cell r="CK423">
            <v>-4646700.9000000004</v>
          </cell>
          <cell r="CL423">
            <v>7690800.4699999997</v>
          </cell>
          <cell r="CM423">
            <v>-19402192.890000001</v>
          </cell>
          <cell r="CN423">
            <v>5523422.1399999997</v>
          </cell>
          <cell r="CO423">
            <v>5442618.1799999997</v>
          </cell>
          <cell r="CP423">
            <v>4434602.46</v>
          </cell>
          <cell r="CQ423">
            <v>-13892246.57</v>
          </cell>
          <cell r="CR423">
            <v>5555927.8700000001</v>
          </cell>
          <cell r="CS423">
            <v>5105687.1500000004</v>
          </cell>
          <cell r="CT423">
            <v>-8957171.2300000004</v>
          </cell>
          <cell r="CU423">
            <v>5862599.79</v>
          </cell>
          <cell r="CV423">
            <v>9787937.4600000009</v>
          </cell>
          <cell r="CW423">
            <v>-7920739.6399999997</v>
          </cell>
          <cell r="CX423">
            <v>10906631.869999999</v>
          </cell>
          <cell r="CY423">
            <v>-22833862.670000002</v>
          </cell>
          <cell r="CZ423">
            <v>6255344.3099999996</v>
          </cell>
          <cell r="DA423">
            <v>6658559.8300000001</v>
          </cell>
          <cell r="DB423">
            <v>4395198.3499999996</v>
          </cell>
          <cell r="DC423">
            <v>-15060884.5</v>
          </cell>
          <cell r="DD423">
            <v>7270008.4299999997</v>
          </cell>
          <cell r="DE423">
            <v>-11423300.48</v>
          </cell>
          <cell r="DF423">
            <v>5933019.0599999996</v>
          </cell>
          <cell r="DG423">
            <v>6107119.9299999997</v>
          </cell>
          <cell r="DH423">
            <v>75031.949999996461</v>
          </cell>
        </row>
        <row r="424">
          <cell r="AK424">
            <v>0</v>
          </cell>
          <cell r="AL424">
            <v>7.9162418842315674E-9</v>
          </cell>
          <cell r="AM424">
            <v>0</v>
          </cell>
          <cell r="AN424">
            <v>0</v>
          </cell>
          <cell r="AO424">
            <v>1.3969838619232178E-8</v>
          </cell>
          <cell r="AP424">
            <v>7.4505805969238281E-9</v>
          </cell>
          <cell r="AQ424">
            <v>6.0535967350006104E-9</v>
          </cell>
          <cell r="AR424">
            <v>0</v>
          </cell>
          <cell r="AS424">
            <v>1.280568540096283E-8</v>
          </cell>
          <cell r="AT424">
            <v>-5.1222741603851318E-9</v>
          </cell>
          <cell r="AU424">
            <v>0</v>
          </cell>
          <cell r="AV424">
            <v>0</v>
          </cell>
          <cell r="AW424">
            <v>5.5879354476928711E-9</v>
          </cell>
          <cell r="AX424">
            <v>-2.0954757928848267E-8</v>
          </cell>
          <cell r="AY424">
            <v>0</v>
          </cell>
          <cell r="AZ424">
            <v>-1.6763806343078613E-8</v>
          </cell>
          <cell r="BA424">
            <v>2.4214386940002441E-8</v>
          </cell>
          <cell r="BB424">
            <v>6.7520886659622192E-9</v>
          </cell>
          <cell r="BC424">
            <v>0</v>
          </cell>
          <cell r="BD424">
            <v>0</v>
          </cell>
          <cell r="BE424">
            <v>0</v>
          </cell>
          <cell r="BF424">
            <v>-3.7252902984619141E-9</v>
          </cell>
          <cell r="BG424">
            <v>1638.5</v>
          </cell>
          <cell r="BH424">
            <v>-1638.5000000386499</v>
          </cell>
          <cell r="BI424">
            <v>5.1688402891159058E-8</v>
          </cell>
          <cell r="BJ424">
            <v>162.000000028871</v>
          </cell>
          <cell r="BK424">
            <v>-162.00000004377216</v>
          </cell>
          <cell r="BL424">
            <v>2.7939677238464355E-8</v>
          </cell>
          <cell r="BM424">
            <v>1.9557774066925049E-8</v>
          </cell>
          <cell r="BN424">
            <v>1.3969838619232178E-8</v>
          </cell>
          <cell r="BO424">
            <v>0</v>
          </cell>
          <cell r="BP424">
            <v>0</v>
          </cell>
          <cell r="BQ424">
            <v>-7.9162418842315674E-9</v>
          </cell>
          <cell r="BR424">
            <v>9.3132257461547852E-9</v>
          </cell>
          <cell r="BS424">
            <v>0</v>
          </cell>
          <cell r="BT424">
            <v>4.1909515857696533E-9</v>
          </cell>
          <cell r="BU424">
            <v>1.2107193470001221E-8</v>
          </cell>
          <cell r="BV424">
            <v>0</v>
          </cell>
          <cell r="BW424">
            <v>1.909211277961731E-8</v>
          </cell>
          <cell r="BX424">
            <v>9.3132257461547852E-9</v>
          </cell>
          <cell r="BY424">
            <v>0</v>
          </cell>
          <cell r="BZ424">
            <v>-7.4505805969238281E-9</v>
          </cell>
          <cell r="CA424">
            <v>7.4505805969238281E-9</v>
          </cell>
          <cell r="CB424">
            <v>27.999999986961484</v>
          </cell>
          <cell r="CC424">
            <v>-1.0244548320770264E-8</v>
          </cell>
          <cell r="CD424">
            <v>1.5366822481155396E-8</v>
          </cell>
          <cell r="CE424">
            <v>9.3132257461547852E-9</v>
          </cell>
          <cell r="CF424">
            <v>-1.1641532182693481E-8</v>
          </cell>
          <cell r="CG424">
            <v>0</v>
          </cell>
          <cell r="CH424">
            <v>0</v>
          </cell>
          <cell r="CI424">
            <v>-1.7695128917694092E-8</v>
          </cell>
          <cell r="CJ424">
            <v>-2.2351741790771484E-8</v>
          </cell>
          <cell r="CK424">
            <v>8.3819031715393066E-9</v>
          </cell>
          <cell r="CL424">
            <v>-2.4214386940002441E-8</v>
          </cell>
          <cell r="CM424">
            <v>-2.9802322387695313E-8</v>
          </cell>
          <cell r="CN424">
            <v>0</v>
          </cell>
          <cell r="CO424">
            <v>0</v>
          </cell>
          <cell r="CP424">
            <v>1.0244548320770264E-8</v>
          </cell>
          <cell r="CQ424">
            <v>0</v>
          </cell>
          <cell r="CR424">
            <v>-1.3038516044616699E-8</v>
          </cell>
          <cell r="CS424">
            <v>3.2596290111541748E-8</v>
          </cell>
          <cell r="CT424">
            <v>0</v>
          </cell>
          <cell r="CU424">
            <v>0</v>
          </cell>
          <cell r="CV424">
            <v>-4.6566128730773926E-8</v>
          </cell>
          <cell r="CW424">
            <v>-1.5832483768463135E-8</v>
          </cell>
          <cell r="CX424">
            <v>-1.862645149230957E-8</v>
          </cell>
          <cell r="CY424">
            <v>0</v>
          </cell>
          <cell r="CZ424">
            <v>1.4901161193847656E-8</v>
          </cell>
          <cell r="DA424">
            <v>3.7252902984619141E-8</v>
          </cell>
          <cell r="DB424">
            <v>-1.862645149230957E-8</v>
          </cell>
          <cell r="DC424">
            <v>0</v>
          </cell>
          <cell r="DD424">
            <v>4.0046870708465576E-8</v>
          </cell>
          <cell r="DE424">
            <v>1.862645149230957E-8</v>
          </cell>
          <cell r="DF424">
            <v>0</v>
          </cell>
          <cell r="DG424">
            <v>-3.6321580410003662E-8</v>
          </cell>
          <cell r="DH424">
            <v>-2.514570951461792E-8</v>
          </cell>
        </row>
        <row r="425">
          <cell r="A425" t="str">
            <v>FERC 3 Digit</v>
          </cell>
          <cell r="B425" t="str">
            <v>Nat</v>
          </cell>
          <cell r="C425" t="str">
            <v>Text</v>
          </cell>
          <cell r="D425" t="str">
            <v>JAN 2014  Activity</v>
          </cell>
          <cell r="E425" t="str">
            <v>FEB 2014  Activity</v>
          </cell>
          <cell r="F425" t="str">
            <v>MAR 2014  Activity</v>
          </cell>
          <cell r="G425" t="str">
            <v>APR 2014  Activity</v>
          </cell>
          <cell r="H425" t="str">
            <v>MAY 2014  Activity</v>
          </cell>
          <cell r="I425" t="str">
            <v>JUN 2014  Activity</v>
          </cell>
          <cell r="J425" t="str">
            <v>JUL 2014  Activity</v>
          </cell>
          <cell r="K425" t="str">
            <v>AUG 2014  Activity</v>
          </cell>
          <cell r="L425" t="str">
            <v>SEP 2014  Activity</v>
          </cell>
          <cell r="M425" t="str">
            <v>OCT 2014  Activity</v>
          </cell>
          <cell r="N425" t="str">
            <v>NOV 2014  Activity</v>
          </cell>
          <cell r="O425" t="str">
            <v>DEC 2014  Activity</v>
          </cell>
          <cell r="P425" t="str">
            <v>JAN 2015  Activity</v>
          </cell>
          <cell r="Q425" t="str">
            <v>FEB 2015  Activity</v>
          </cell>
          <cell r="R425" t="str">
            <v>MAR 2015  Activity</v>
          </cell>
          <cell r="S425" t="str">
            <v>APR 2015  Activity</v>
          </cell>
          <cell r="T425" t="str">
            <v>MAY 2015  Activity</v>
          </cell>
          <cell r="U425" t="str">
            <v>JUN 2015  Activity</v>
          </cell>
          <cell r="V425" t="str">
            <v>JUL 2015  Activity</v>
          </cell>
          <cell r="W425" t="str">
            <v>AUG 2015  Activity</v>
          </cell>
          <cell r="X425" t="str">
            <v>SEP 2015  Activity</v>
          </cell>
          <cell r="Y425" t="str">
            <v>OCT 2015  Activity</v>
          </cell>
          <cell r="Z425" t="str">
            <v>NOV 2015  Activity</v>
          </cell>
          <cell r="AA425" t="str">
            <v>DEC 2015  Activity</v>
          </cell>
          <cell r="AB425" t="str">
            <v>JAN 2016  Activity</v>
          </cell>
          <cell r="AC425" t="str">
            <v>FEB 2016  Activity</v>
          </cell>
          <cell r="AD425" t="str">
            <v>MAR 2016  Activity</v>
          </cell>
          <cell r="AE425" t="str">
            <v>APR 2016  Activity</v>
          </cell>
          <cell r="AF425" t="str">
            <v>MAY 2016  Activity</v>
          </cell>
          <cell r="AG425" t="str">
            <v>JUN 2016  Activity</v>
          </cell>
          <cell r="AH425" t="str">
            <v>JUL 2016  Activity</v>
          </cell>
          <cell r="AI425" t="str">
            <v>AUG 2016  Activity</v>
          </cell>
          <cell r="AJ425" t="str">
            <v>SEP 2016  Activity</v>
          </cell>
          <cell r="AK425" t="str">
            <v>OCT 2016  Activity</v>
          </cell>
          <cell r="AL425" t="str">
            <v>NOV2016  Activity</v>
          </cell>
          <cell r="AM425" t="str">
            <v>DEC 2016  Activity</v>
          </cell>
          <cell r="AN425" t="str">
            <v>JAN 2017  Activity</v>
          </cell>
          <cell r="AO425" t="str">
            <v>FEB 2017  Activity</v>
          </cell>
          <cell r="AP425" t="str">
            <v>MAR 2017  Activity</v>
          </cell>
          <cell r="AQ425" t="str">
            <v>APR 2017  Activity</v>
          </cell>
          <cell r="AR425" t="str">
            <v>MAY 2017  Activity</v>
          </cell>
          <cell r="AS425" t="str">
            <v>JUN 2017  Activity</v>
          </cell>
          <cell r="AT425" t="str">
            <v>JUL 2017  Activity</v>
          </cell>
          <cell r="AU425" t="str">
            <v>AUG 2017  Activity</v>
          </cell>
          <cell r="AV425" t="str">
            <v>SEP 2017  Activity</v>
          </cell>
          <cell r="AW425" t="str">
            <v>OCT 2017  Activity</v>
          </cell>
          <cell r="AX425" t="str">
            <v>NOV 2017  Activity</v>
          </cell>
          <cell r="AY425" t="str">
            <v>DEC 2017  Activity</v>
          </cell>
          <cell r="AZ425" t="str">
            <v>JAN 2018  Activity</v>
          </cell>
          <cell r="BA425" t="str">
            <v>FEB 2018  Activity</v>
          </cell>
          <cell r="BB425" t="str">
            <v>MAR 2018  Activity</v>
          </cell>
          <cell r="BC425" t="str">
            <v>APR 2018  Activity</v>
          </cell>
          <cell r="BD425" t="str">
            <v>MAY 2018  Activity</v>
          </cell>
          <cell r="BE425" t="str">
            <v>JUN 2018  Activity</v>
          </cell>
          <cell r="BF425" t="str">
            <v>JUL 2018  Activity</v>
          </cell>
          <cell r="BG425" t="str">
            <v>AUG 2018  Activity</v>
          </cell>
          <cell r="BH425" t="str">
            <v>SEP 2018  Activity</v>
          </cell>
          <cell r="BI425" t="str">
            <v>OCT 2018  Activity</v>
          </cell>
          <cell r="BJ425" t="str">
            <v>NOV 2018  Activity</v>
          </cell>
          <cell r="BK425" t="str">
            <v>DEC 2018  Activity</v>
          </cell>
          <cell r="BL425" t="str">
            <v>JAN 2019  Activity</v>
          </cell>
          <cell r="BM425" t="str">
            <v>FEB 2019  Activity</v>
          </cell>
          <cell r="BN425" t="str">
            <v>MAR 2019  Activity</v>
          </cell>
          <cell r="BO425" t="str">
            <v>APR 2019  Activity</v>
          </cell>
          <cell r="BP425" t="str">
            <v>MAY 2019  Activity</v>
          </cell>
          <cell r="BQ425" t="str">
            <v>JUN 2019  Activity</v>
          </cell>
          <cell r="BR425" t="str">
            <v>JUL 2019  Activity</v>
          </cell>
          <cell r="BS425" t="str">
            <v>AUG 2019  Activity</v>
          </cell>
          <cell r="BT425" t="str">
            <v>SEP 2019  Activity</v>
          </cell>
          <cell r="BU425" t="str">
            <v>OCT 2019  Activity</v>
          </cell>
          <cell r="BV425" t="str">
            <v>NOV 2019  Activity</v>
          </cell>
          <cell r="BW425" t="str">
            <v>DEC 2019  Activity</v>
          </cell>
          <cell r="BX425" t="str">
            <v>JAN 2020  Activity</v>
          </cell>
          <cell r="BY425" t="str">
            <v>FEB 2020  Activity</v>
          </cell>
          <cell r="BZ425" t="str">
            <v>MAR 2020  Activity</v>
          </cell>
          <cell r="CA425" t="str">
            <v>APR 2020  Activity</v>
          </cell>
          <cell r="CB425" t="str">
            <v>MAY 2020  Activity</v>
          </cell>
          <cell r="CC425" t="str">
            <v>JUN 2020  Activity</v>
          </cell>
          <cell r="CD425" t="str">
            <v>JUL 2020  Activity</v>
          </cell>
          <cell r="CE425" t="str">
            <v>AUG 2020  Activity</v>
          </cell>
          <cell r="CF425" t="str">
            <v>SEP 2020  Activity</v>
          </cell>
          <cell r="CG425" t="str">
            <v>OCT 2020  Activity</v>
          </cell>
          <cell r="CH425" t="str">
            <v>NOV 2020  Activity</v>
          </cell>
          <cell r="CI425" t="str">
            <v>DEC 2020  Activity</v>
          </cell>
          <cell r="CJ425" t="str">
            <v>JAN 2021  Activity</v>
          </cell>
          <cell r="CK425" t="str">
            <v>FEB 2021  Activity</v>
          </cell>
          <cell r="CL425" t="str">
            <v>MAR 2021  Activity</v>
          </cell>
          <cell r="CM425" t="str">
            <v>APR 2021  Activity</v>
          </cell>
          <cell r="CN425" t="str">
            <v>MAY 2021  Activity</v>
          </cell>
          <cell r="CO425" t="str">
            <v>JUN 2021  Activity</v>
          </cell>
          <cell r="CP425" t="str">
            <v>JUL 2021  Activity</v>
          </cell>
          <cell r="CQ425" t="str">
            <v>AUG 2021  Activity</v>
          </cell>
          <cell r="CR425" t="str">
            <v>SEPT 2021  Activity</v>
          </cell>
          <cell r="CS425" t="str">
            <v>OCT 2021  Activity</v>
          </cell>
          <cell r="CT425" t="str">
            <v>NOV 2021  Activity</v>
          </cell>
          <cell r="CU425" t="str">
            <v>DEC 2021  Activity</v>
          </cell>
          <cell r="CV425" t="str">
            <v>JAN 2022  Activity</v>
          </cell>
          <cell r="CW425" t="str">
            <v>FEB 2022  Activity</v>
          </cell>
          <cell r="CX425" t="str">
            <v>MAR 2022  Activity</v>
          </cell>
          <cell r="CY425" t="str">
            <v>APR 2022  Activity</v>
          </cell>
          <cell r="CZ425" t="str">
            <v>MAY 2022  Activity</v>
          </cell>
          <cell r="DA425" t="str">
            <v>JUN 2022  Activity</v>
          </cell>
          <cell r="DB425" t="str">
            <v>JULY 2022  Activity</v>
          </cell>
          <cell r="DC425" t="str">
            <v>AUG 2022  Activity</v>
          </cell>
          <cell r="DD425" t="str">
            <v>SEPT 2022  Activity</v>
          </cell>
          <cell r="DE425" t="str">
            <v>OCT 2022  Activity</v>
          </cell>
          <cell r="DF425" t="str">
            <v>NOV 2022  Activity</v>
          </cell>
          <cell r="DG425" t="str">
            <v>DEC 2022  Activity</v>
          </cell>
          <cell r="DH425">
            <v>0</v>
          </cell>
        </row>
        <row r="426">
          <cell r="A426" t="str">
            <v>4030</v>
          </cell>
          <cell r="D426">
            <v>4245161.26</v>
          </cell>
          <cell r="E426">
            <v>4207119.1399999997</v>
          </cell>
          <cell r="F426">
            <v>4214231.42</v>
          </cell>
          <cell r="G426">
            <v>4222479.62</v>
          </cell>
          <cell r="H426">
            <v>4241082.46</v>
          </cell>
          <cell r="I426">
            <v>4251586.87</v>
          </cell>
          <cell r="J426">
            <v>4262005.4800000004</v>
          </cell>
          <cell r="K426">
            <v>4298136.43</v>
          </cell>
          <cell r="L426">
            <v>4316386.4000000004</v>
          </cell>
          <cell r="M426">
            <v>4334447.7300000004</v>
          </cell>
          <cell r="N426">
            <v>4365072.1100000003</v>
          </cell>
          <cell r="O426">
            <v>4384360.91</v>
          </cell>
          <cell r="P426">
            <v>4407098.71</v>
          </cell>
          <cell r="Q426">
            <v>4425417.41</v>
          </cell>
          <cell r="R426">
            <v>4431232.5199999996</v>
          </cell>
          <cell r="S426">
            <v>4446182.9000000004</v>
          </cell>
          <cell r="T426">
            <v>4467479.41</v>
          </cell>
          <cell r="U426">
            <v>4488665.9000000004</v>
          </cell>
          <cell r="V426">
            <v>4538000.74</v>
          </cell>
          <cell r="W426">
            <v>4550526.09</v>
          </cell>
          <cell r="X426">
            <v>4562763.3</v>
          </cell>
          <cell r="Y426">
            <v>4584730.0999999996</v>
          </cell>
          <cell r="Z426">
            <v>4603963.09</v>
          </cell>
          <cell r="AA426">
            <v>4631851.5</v>
          </cell>
          <cell r="AB426">
            <v>4667147.76</v>
          </cell>
          <cell r="AC426">
            <v>4704864.67</v>
          </cell>
          <cell r="AD426">
            <v>4723345.3099999996</v>
          </cell>
          <cell r="AE426">
            <v>4743484.2699999996</v>
          </cell>
          <cell r="AF426">
            <v>4763746.34</v>
          </cell>
          <cell r="AG426">
            <v>4777464.88</v>
          </cell>
          <cell r="AH426">
            <v>4959441.68</v>
          </cell>
          <cell r="AI426">
            <v>4837445.83</v>
          </cell>
          <cell r="AJ426">
            <v>4938910.2699999996</v>
          </cell>
          <cell r="AK426">
            <v>4949351.38</v>
          </cell>
          <cell r="AL426">
            <v>5002328.6399999997</v>
          </cell>
          <cell r="AM426">
            <v>-11678706.08</v>
          </cell>
          <cell r="AN426">
            <v>3595775.31</v>
          </cell>
          <cell r="AO426">
            <v>3616299.31</v>
          </cell>
          <cell r="AP426">
            <v>3633375.89</v>
          </cell>
          <cell r="AQ426">
            <v>3642311.28</v>
          </cell>
          <cell r="AR426">
            <v>3646711.86</v>
          </cell>
          <cell r="AS426">
            <v>3664703.01</v>
          </cell>
          <cell r="AT426">
            <v>3681094.35</v>
          </cell>
          <cell r="AU426">
            <v>3699572.6</v>
          </cell>
          <cell r="AV426">
            <v>3720976.73</v>
          </cell>
          <cell r="AW426">
            <v>3759140.47</v>
          </cell>
          <cell r="AX426">
            <v>3784764.26</v>
          </cell>
          <cell r="AY426">
            <v>3802460.82</v>
          </cell>
          <cell r="AZ426">
            <v>3828881.35</v>
          </cell>
          <cell r="BA426">
            <v>3858918.81</v>
          </cell>
          <cell r="BB426">
            <v>3877230.57</v>
          </cell>
          <cell r="BC426">
            <v>3905747.53</v>
          </cell>
          <cell r="BD426">
            <v>3922730.34</v>
          </cell>
          <cell r="BE426">
            <v>3962454.71</v>
          </cell>
          <cell r="BF426">
            <v>3982806.7</v>
          </cell>
          <cell r="BG426">
            <v>4002276.8</v>
          </cell>
          <cell r="BH426">
            <v>4045105.27</v>
          </cell>
          <cell r="BI426">
            <v>4031307.23</v>
          </cell>
          <cell r="BJ426">
            <v>4072746.98</v>
          </cell>
          <cell r="BK426">
            <v>4134643.13</v>
          </cell>
          <cell r="BL426">
            <v>3107962.62</v>
          </cell>
          <cell r="BM426">
            <v>3127764.88</v>
          </cell>
          <cell r="BN426">
            <v>3164395.09</v>
          </cell>
          <cell r="BO426">
            <v>3192930.59</v>
          </cell>
          <cell r="BP426">
            <v>3215751.7</v>
          </cell>
          <cell r="BQ426">
            <v>3240566.32</v>
          </cell>
          <cell r="BR426">
            <v>3269450.45</v>
          </cell>
          <cell r="BS426">
            <v>3291399.24</v>
          </cell>
          <cell r="BT426">
            <v>3306879.04</v>
          </cell>
          <cell r="BU426">
            <v>3343583.3</v>
          </cell>
          <cell r="BV426">
            <v>3354950.57</v>
          </cell>
          <cell r="BW426">
            <v>3395513.35</v>
          </cell>
          <cell r="BX426">
            <v>3428541.86</v>
          </cell>
          <cell r="BY426">
            <v>3444795.37</v>
          </cell>
          <cell r="BZ426">
            <v>3482418.96</v>
          </cell>
          <cell r="CA426">
            <v>3513602.62</v>
          </cell>
          <cell r="CB426">
            <v>3534644.66</v>
          </cell>
          <cell r="CC426">
            <v>3555660.03</v>
          </cell>
          <cell r="CD426">
            <v>3580039.27</v>
          </cell>
          <cell r="CE426">
            <v>3598451.29</v>
          </cell>
          <cell r="CF426">
            <v>3632403.4</v>
          </cell>
          <cell r="CG426">
            <v>3656996.48</v>
          </cell>
          <cell r="CH426">
            <v>3752982.95</v>
          </cell>
          <cell r="CI426">
            <v>3789137.69</v>
          </cell>
          <cell r="CJ426">
            <v>4058861.98</v>
          </cell>
          <cell r="CK426">
            <v>4092393.43</v>
          </cell>
          <cell r="CL426">
            <v>4088038.85</v>
          </cell>
          <cell r="CM426">
            <v>4119088.03</v>
          </cell>
          <cell r="CN426">
            <v>4253544.55</v>
          </cell>
          <cell r="CO426">
            <v>4279271.59</v>
          </cell>
          <cell r="CP426">
            <v>4304775.75</v>
          </cell>
          <cell r="CQ426">
            <v>4323312.1900000004</v>
          </cell>
          <cell r="CR426">
            <v>4344549.92</v>
          </cell>
          <cell r="CS426">
            <v>4358337.1100000003</v>
          </cell>
          <cell r="CT426">
            <v>4383559.29</v>
          </cell>
          <cell r="CU426">
            <v>4514855.82</v>
          </cell>
          <cell r="CV426">
            <v>4556223.72</v>
          </cell>
          <cell r="CW426">
            <v>4580607.3600000003</v>
          </cell>
          <cell r="CX426">
            <v>-192470.77</v>
          </cell>
          <cell r="CY426">
            <v>4621121.43</v>
          </cell>
          <cell r="CZ426">
            <v>4653219.08</v>
          </cell>
          <cell r="DA426">
            <v>-96220.41</v>
          </cell>
          <cell r="DB426">
            <v>4717547.8899999997</v>
          </cell>
          <cell r="DC426">
            <v>4710523.5599999996</v>
          </cell>
          <cell r="DD426">
            <v>-42495.4</v>
          </cell>
          <cell r="DE426">
            <v>4762167.58</v>
          </cell>
          <cell r="DF426">
            <v>4864802.5199999996</v>
          </cell>
          <cell r="DG426">
            <v>4887440.9400000004</v>
          </cell>
          <cell r="DH426">
            <v>42022467.5</v>
          </cell>
        </row>
        <row r="427">
          <cell r="A427" t="str">
            <v>4043</v>
          </cell>
          <cell r="D427">
            <v>147191.46</v>
          </cell>
          <cell r="E427">
            <v>150189.5</v>
          </cell>
          <cell r="F427">
            <v>150194.57999999999</v>
          </cell>
          <cell r="G427">
            <v>150194.63</v>
          </cell>
          <cell r="H427">
            <v>150484.89000000001</v>
          </cell>
          <cell r="I427">
            <v>150486.68</v>
          </cell>
          <cell r="J427">
            <v>150488.16</v>
          </cell>
          <cell r="K427">
            <v>148336.57999999999</v>
          </cell>
          <cell r="L427">
            <v>154584.12</v>
          </cell>
          <cell r="M427">
            <v>154782.59</v>
          </cell>
          <cell r="N427">
            <v>154803.57999999999</v>
          </cell>
          <cell r="O427">
            <v>154804.53</v>
          </cell>
          <cell r="P427">
            <v>154806.53</v>
          </cell>
          <cell r="Q427">
            <v>154806.63</v>
          </cell>
          <cell r="R427">
            <v>134962.85</v>
          </cell>
          <cell r="S427">
            <v>135733.29</v>
          </cell>
          <cell r="T427">
            <v>147032.15</v>
          </cell>
          <cell r="U427">
            <v>146988.38</v>
          </cell>
          <cell r="V427">
            <v>147053.41</v>
          </cell>
          <cell r="W427">
            <v>148150.35999999999</v>
          </cell>
          <cell r="X427">
            <v>148668.26999999999</v>
          </cell>
          <cell r="Y427">
            <v>149307.07999999999</v>
          </cell>
          <cell r="Z427">
            <v>148928.76</v>
          </cell>
          <cell r="AA427">
            <v>149025.72</v>
          </cell>
          <cell r="AB427">
            <v>149157.06</v>
          </cell>
          <cell r="AC427">
            <v>149157.44</v>
          </cell>
          <cell r="AD427">
            <v>149159.98000000001</v>
          </cell>
          <cell r="AE427">
            <v>149093.32999999999</v>
          </cell>
          <cell r="AF427">
            <v>149095.4</v>
          </cell>
          <cell r="AG427">
            <v>149095.99</v>
          </cell>
          <cell r="AH427">
            <v>151055.9</v>
          </cell>
          <cell r="AI427">
            <v>158659.17000000001</v>
          </cell>
          <cell r="AJ427">
            <v>158665.84</v>
          </cell>
          <cell r="AK427">
            <v>158827.91</v>
          </cell>
          <cell r="AL427">
            <v>160395.59</v>
          </cell>
          <cell r="AM427">
            <v>160906.1</v>
          </cell>
          <cell r="AN427">
            <v>155958.22</v>
          </cell>
          <cell r="AO427">
            <v>155958.41</v>
          </cell>
          <cell r="AP427">
            <v>155959.65</v>
          </cell>
          <cell r="AQ427">
            <v>158368.13</v>
          </cell>
          <cell r="AR427">
            <v>157782.47</v>
          </cell>
          <cell r="AS427">
            <v>157809.01999999999</v>
          </cell>
          <cell r="AT427">
            <v>158117.35999999999</v>
          </cell>
          <cell r="AU427">
            <v>158131.23000000001</v>
          </cell>
          <cell r="AV427">
            <v>158476.85</v>
          </cell>
          <cell r="AW427">
            <v>158503.75</v>
          </cell>
          <cell r="AX427">
            <v>158595.5</v>
          </cell>
          <cell r="AY427">
            <v>158595.15</v>
          </cell>
          <cell r="AZ427">
            <v>160184.29999999999</v>
          </cell>
          <cell r="BA427">
            <v>160187.41</v>
          </cell>
          <cell r="BB427">
            <v>160210.32999999999</v>
          </cell>
          <cell r="BC427">
            <v>161347.1</v>
          </cell>
          <cell r="BD427">
            <v>161706.65</v>
          </cell>
          <cell r="BE427">
            <v>161723.91</v>
          </cell>
          <cell r="BF427">
            <v>161648.19</v>
          </cell>
          <cell r="BG427">
            <v>163599.94</v>
          </cell>
          <cell r="BH427">
            <v>163761.54</v>
          </cell>
          <cell r="BI427">
            <v>163948.59</v>
          </cell>
          <cell r="BJ427">
            <v>168391.29</v>
          </cell>
          <cell r="BK427">
            <v>168590.2</v>
          </cell>
          <cell r="BL427">
            <v>175750.58</v>
          </cell>
          <cell r="BM427">
            <v>176244.21</v>
          </cell>
          <cell r="BN427">
            <v>176111.99</v>
          </cell>
          <cell r="BO427">
            <v>176101.6</v>
          </cell>
          <cell r="BP427">
            <v>176152.95</v>
          </cell>
          <cell r="BQ427">
            <v>172556.62</v>
          </cell>
          <cell r="BR427">
            <v>172563.25</v>
          </cell>
          <cell r="BS427">
            <v>172487.48</v>
          </cell>
          <cell r="BT427">
            <v>172554.12</v>
          </cell>
          <cell r="BU427">
            <v>178817.54</v>
          </cell>
          <cell r="BV427">
            <v>179457.42</v>
          </cell>
          <cell r="BW427">
            <v>180492.46</v>
          </cell>
          <cell r="BX427">
            <v>186368.99</v>
          </cell>
          <cell r="BY427">
            <v>184231.94</v>
          </cell>
          <cell r="BZ427">
            <v>185353.5</v>
          </cell>
          <cell r="CA427">
            <v>184520.25</v>
          </cell>
          <cell r="CB427">
            <v>184391.25</v>
          </cell>
          <cell r="CC427">
            <v>184507.58</v>
          </cell>
          <cell r="CD427">
            <v>185260.31</v>
          </cell>
          <cell r="CE427">
            <v>185376.15</v>
          </cell>
          <cell r="CF427">
            <v>183665.84</v>
          </cell>
          <cell r="CG427">
            <v>183812.57</v>
          </cell>
          <cell r="CH427">
            <v>274286.36</v>
          </cell>
          <cell r="CI427">
            <v>274706.28999999998</v>
          </cell>
          <cell r="CJ427">
            <v>270651.27</v>
          </cell>
          <cell r="CK427">
            <v>270886.17</v>
          </cell>
          <cell r="CL427">
            <v>271218.26</v>
          </cell>
          <cell r="CM427">
            <v>285406.7</v>
          </cell>
          <cell r="CN427">
            <v>301060.37</v>
          </cell>
          <cell r="CO427">
            <v>302455.27</v>
          </cell>
          <cell r="CP427">
            <v>303895.84999999998</v>
          </cell>
          <cell r="CQ427">
            <v>305319.11</v>
          </cell>
          <cell r="CR427">
            <v>305870.89</v>
          </cell>
          <cell r="CS427">
            <v>306026.75</v>
          </cell>
          <cell r="CT427">
            <v>306171.98</v>
          </cell>
          <cell r="CU427">
            <v>306369.34999999998</v>
          </cell>
          <cell r="CV427">
            <v>306480.17</v>
          </cell>
          <cell r="CW427">
            <v>306715.53999999998</v>
          </cell>
          <cell r="CX427">
            <v>339061.6</v>
          </cell>
          <cell r="CY427">
            <v>339744.77</v>
          </cell>
          <cell r="CZ427">
            <v>339862.64</v>
          </cell>
          <cell r="DA427">
            <v>340197.19</v>
          </cell>
          <cell r="DB427">
            <v>339366.82</v>
          </cell>
          <cell r="DC427">
            <v>339490.01</v>
          </cell>
          <cell r="DD427">
            <v>339472.62</v>
          </cell>
          <cell r="DE427">
            <v>339739.91</v>
          </cell>
          <cell r="DF427">
            <v>339859.61</v>
          </cell>
          <cell r="DG427">
            <v>343378.44</v>
          </cell>
          <cell r="DH427">
            <v>4013369.3200000003</v>
          </cell>
        </row>
        <row r="428">
          <cell r="A428" t="str">
            <v>4060</v>
          </cell>
          <cell r="D428">
            <v>12428.82</v>
          </cell>
          <cell r="E428">
            <v>12428.82</v>
          </cell>
          <cell r="F428">
            <v>12428.82</v>
          </cell>
          <cell r="G428">
            <v>12428.82</v>
          </cell>
          <cell r="H428">
            <v>12428.82</v>
          </cell>
          <cell r="I428">
            <v>12428.82</v>
          </cell>
          <cell r="J428">
            <v>12428.82</v>
          </cell>
          <cell r="K428">
            <v>12428.82</v>
          </cell>
          <cell r="L428">
            <v>12428.82</v>
          </cell>
          <cell r="M428">
            <v>12428.82</v>
          </cell>
          <cell r="N428">
            <v>12428.82</v>
          </cell>
          <cell r="O428">
            <v>12428.82</v>
          </cell>
          <cell r="P428">
            <v>12428.82</v>
          </cell>
          <cell r="Q428">
            <v>12428.82</v>
          </cell>
          <cell r="R428">
            <v>12428.82</v>
          </cell>
          <cell r="S428">
            <v>12428.82</v>
          </cell>
          <cell r="T428">
            <v>12428.82</v>
          </cell>
          <cell r="U428">
            <v>12428.82</v>
          </cell>
          <cell r="V428">
            <v>12428.82</v>
          </cell>
          <cell r="W428">
            <v>12428.82</v>
          </cell>
          <cell r="X428">
            <v>12428.82</v>
          </cell>
          <cell r="Y428">
            <v>12428.82</v>
          </cell>
          <cell r="Z428">
            <v>12428.82</v>
          </cell>
          <cell r="AA428">
            <v>12428.82</v>
          </cell>
          <cell r="AB428">
            <v>12428.82</v>
          </cell>
          <cell r="AC428">
            <v>12428.82</v>
          </cell>
          <cell r="AD428">
            <v>12428.82</v>
          </cell>
          <cell r="AE428">
            <v>12428.82</v>
          </cell>
          <cell r="AF428">
            <v>12428.82</v>
          </cell>
          <cell r="AG428">
            <v>12428.82</v>
          </cell>
          <cell r="AH428">
            <v>12428.82</v>
          </cell>
          <cell r="AI428">
            <v>12428.82</v>
          </cell>
          <cell r="AJ428">
            <v>12428.82</v>
          </cell>
          <cell r="AK428">
            <v>12428.82</v>
          </cell>
          <cell r="AL428">
            <v>12428.82</v>
          </cell>
          <cell r="AM428">
            <v>12428.82</v>
          </cell>
          <cell r="AN428">
            <v>12428.82</v>
          </cell>
          <cell r="AO428">
            <v>12428.82</v>
          </cell>
          <cell r="AP428">
            <v>12428.82</v>
          </cell>
          <cell r="AQ428">
            <v>12428.82</v>
          </cell>
          <cell r="AR428">
            <v>12428.82</v>
          </cell>
          <cell r="AS428">
            <v>12428.82</v>
          </cell>
          <cell r="AT428">
            <v>12428.82</v>
          </cell>
          <cell r="AU428">
            <v>12428.82</v>
          </cell>
          <cell r="AV428">
            <v>12428.82</v>
          </cell>
          <cell r="AW428">
            <v>12428.82</v>
          </cell>
          <cell r="AX428">
            <v>12428.82</v>
          </cell>
          <cell r="AY428">
            <v>12428.82</v>
          </cell>
          <cell r="AZ428">
            <v>12428.82</v>
          </cell>
          <cell r="BA428">
            <v>12428.82</v>
          </cell>
          <cell r="BB428">
            <v>12428.82</v>
          </cell>
          <cell r="BC428">
            <v>12428.82</v>
          </cell>
          <cell r="BD428">
            <v>12428.82</v>
          </cell>
          <cell r="BE428">
            <v>12428.82</v>
          </cell>
          <cell r="BF428">
            <v>12428.82</v>
          </cell>
          <cell r="BG428">
            <v>12428.82</v>
          </cell>
          <cell r="BH428">
            <v>12428.82</v>
          </cell>
          <cell r="BI428">
            <v>12428.82</v>
          </cell>
          <cell r="BJ428">
            <v>12428.82</v>
          </cell>
          <cell r="BK428">
            <v>12428.82</v>
          </cell>
          <cell r="BL428">
            <v>12428.82</v>
          </cell>
          <cell r="BM428">
            <v>12428.82</v>
          </cell>
          <cell r="BN428">
            <v>12428.82</v>
          </cell>
          <cell r="BO428">
            <v>12428.82</v>
          </cell>
          <cell r="BP428">
            <v>12428.82</v>
          </cell>
          <cell r="BQ428">
            <v>12428.82</v>
          </cell>
          <cell r="BR428">
            <v>12428.82</v>
          </cell>
          <cell r="BS428">
            <v>12428.82</v>
          </cell>
          <cell r="BT428">
            <v>12428.82</v>
          </cell>
          <cell r="BU428">
            <v>12428.82</v>
          </cell>
          <cell r="BV428">
            <v>12428.82</v>
          </cell>
          <cell r="BW428">
            <v>12428.82</v>
          </cell>
          <cell r="BX428">
            <v>12428.82</v>
          </cell>
          <cell r="BY428">
            <v>12428.82</v>
          </cell>
          <cell r="BZ428">
            <v>12428.82</v>
          </cell>
          <cell r="CA428">
            <v>12428.82</v>
          </cell>
          <cell r="CB428">
            <v>12428.82</v>
          </cell>
          <cell r="CC428">
            <v>12428.82</v>
          </cell>
          <cell r="CD428">
            <v>12428.82</v>
          </cell>
          <cell r="CE428">
            <v>12428.82</v>
          </cell>
          <cell r="CF428">
            <v>12428.82</v>
          </cell>
          <cell r="CG428">
            <v>5949.73</v>
          </cell>
          <cell r="CH428">
            <v>5949.73</v>
          </cell>
          <cell r="CI428">
            <v>5949.73</v>
          </cell>
          <cell r="CJ428">
            <v>5949.73</v>
          </cell>
          <cell r="CK428">
            <v>5949.73</v>
          </cell>
          <cell r="CL428">
            <v>5949.73</v>
          </cell>
          <cell r="CM428">
            <v>5949.73</v>
          </cell>
          <cell r="CN428">
            <v>5949.73</v>
          </cell>
          <cell r="CO428">
            <v>5949.73</v>
          </cell>
          <cell r="CP428">
            <v>5949.73</v>
          </cell>
          <cell r="CQ428">
            <v>-687.37</v>
          </cell>
          <cell r="CR428">
            <v>0</v>
          </cell>
          <cell r="CS428">
            <v>0</v>
          </cell>
          <cell r="CT428">
            <v>0</v>
          </cell>
          <cell r="CU428">
            <v>0</v>
          </cell>
          <cell r="CV428">
            <v>0</v>
          </cell>
          <cell r="CW428">
            <v>0</v>
          </cell>
          <cell r="CX428">
            <v>0</v>
          </cell>
          <cell r="CY428">
            <v>0</v>
          </cell>
          <cell r="CZ428">
            <v>0</v>
          </cell>
          <cell r="DA428">
            <v>0</v>
          </cell>
          <cell r="DB428">
            <v>0</v>
          </cell>
          <cell r="DC428">
            <v>0</v>
          </cell>
          <cell r="DD428">
            <v>0</v>
          </cell>
          <cell r="DE428">
            <v>0</v>
          </cell>
          <cell r="DF428">
            <v>0</v>
          </cell>
          <cell r="DG428">
            <v>0</v>
          </cell>
          <cell r="DH428">
            <v>0</v>
          </cell>
        </row>
        <row r="429">
          <cell r="A429" t="str">
            <v>4073</v>
          </cell>
          <cell r="D429">
            <v>692732</v>
          </cell>
          <cell r="E429">
            <v>1004123</v>
          </cell>
          <cell r="F429">
            <v>735084</v>
          </cell>
          <cell r="G429">
            <v>458589</v>
          </cell>
          <cell r="H429">
            <v>191456</v>
          </cell>
          <cell r="I429">
            <v>155589</v>
          </cell>
          <cell r="J429">
            <v>53333</v>
          </cell>
          <cell r="K429">
            <v>53333</v>
          </cell>
          <cell r="L429">
            <v>53333</v>
          </cell>
          <cell r="M429">
            <v>53333</v>
          </cell>
          <cell r="N429">
            <v>83411</v>
          </cell>
          <cell r="O429">
            <v>606127</v>
          </cell>
          <cell r="P429">
            <v>640463</v>
          </cell>
          <cell r="Q429">
            <v>1044195.45</v>
          </cell>
          <cell r="R429">
            <v>767964.41</v>
          </cell>
          <cell r="S429">
            <v>517228.68</v>
          </cell>
          <cell r="T429">
            <v>53155</v>
          </cell>
          <cell r="U429">
            <v>117676</v>
          </cell>
          <cell r="V429">
            <v>53333</v>
          </cell>
          <cell r="W429">
            <v>564537</v>
          </cell>
          <cell r="X429">
            <v>53333</v>
          </cell>
          <cell r="Y429">
            <v>53333</v>
          </cell>
          <cell r="Z429">
            <v>232559</v>
          </cell>
          <cell r="AA429">
            <v>449762</v>
          </cell>
          <cell r="AB429">
            <v>514421.52</v>
          </cell>
          <cell r="AC429">
            <v>816086</v>
          </cell>
          <cell r="AD429">
            <v>467539</v>
          </cell>
          <cell r="AE429">
            <v>356640</v>
          </cell>
          <cell r="AF429">
            <v>53197</v>
          </cell>
          <cell r="AG429">
            <v>-8011.48</v>
          </cell>
          <cell r="AH429">
            <v>53333</v>
          </cell>
          <cell r="AI429">
            <v>53333</v>
          </cell>
          <cell r="AJ429">
            <v>53333</v>
          </cell>
          <cell r="AK429">
            <v>53333</v>
          </cell>
          <cell r="AL429">
            <v>209703</v>
          </cell>
          <cell r="AM429">
            <v>16053333</v>
          </cell>
          <cell r="AN429">
            <v>1431292</v>
          </cell>
          <cell r="AO429">
            <v>1020414</v>
          </cell>
          <cell r="AP429">
            <v>760824</v>
          </cell>
          <cell r="AQ429">
            <v>753237</v>
          </cell>
          <cell r="AR429">
            <v>485801</v>
          </cell>
          <cell r="AS429">
            <v>485801</v>
          </cell>
          <cell r="AT429">
            <v>485801</v>
          </cell>
          <cell r="AU429">
            <v>485801</v>
          </cell>
          <cell r="AV429">
            <v>485801</v>
          </cell>
          <cell r="AW429">
            <v>485801</v>
          </cell>
          <cell r="AX429">
            <v>485801</v>
          </cell>
          <cell r="AY429">
            <v>-613552</v>
          </cell>
          <cell r="AZ429">
            <v>1523673</v>
          </cell>
          <cell r="BA429">
            <v>2748713.34</v>
          </cell>
          <cell r="BB429">
            <v>4446076.68</v>
          </cell>
          <cell r="BC429">
            <v>1578070</v>
          </cell>
          <cell r="BD429">
            <v>911765</v>
          </cell>
          <cell r="BE429">
            <v>860609</v>
          </cell>
          <cell r="BF429">
            <v>932571</v>
          </cell>
          <cell r="BG429">
            <v>921234</v>
          </cell>
          <cell r="BH429">
            <v>733299</v>
          </cell>
          <cell r="BI429">
            <v>684719</v>
          </cell>
          <cell r="BJ429">
            <v>684719</v>
          </cell>
          <cell r="BK429">
            <v>266083</v>
          </cell>
          <cell r="BL429">
            <v>773967</v>
          </cell>
          <cell r="BM429">
            <v>1622841</v>
          </cell>
          <cell r="BN429">
            <v>771740</v>
          </cell>
          <cell r="BO429">
            <v>251810</v>
          </cell>
          <cell r="BP429">
            <v>366029</v>
          </cell>
          <cell r="BQ429">
            <v>119556</v>
          </cell>
          <cell r="BR429">
            <v>119556</v>
          </cell>
          <cell r="BS429">
            <v>119556</v>
          </cell>
          <cell r="BT429">
            <v>201614</v>
          </cell>
          <cell r="BU429">
            <v>144133</v>
          </cell>
          <cell r="BV429">
            <v>119556</v>
          </cell>
          <cell r="BW429">
            <v>350140</v>
          </cell>
          <cell r="BX429">
            <v>1045771</v>
          </cell>
          <cell r="BY429">
            <v>1486794</v>
          </cell>
          <cell r="BZ429">
            <v>1242135</v>
          </cell>
          <cell r="CA429">
            <v>409329</v>
          </cell>
          <cell r="CB429">
            <v>409329</v>
          </cell>
          <cell r="CC429">
            <v>409329</v>
          </cell>
          <cell r="CD429">
            <v>409329</v>
          </cell>
          <cell r="CE429">
            <v>409329</v>
          </cell>
          <cell r="CF429">
            <v>409329</v>
          </cell>
          <cell r="CG429">
            <v>409329</v>
          </cell>
          <cell r="CH429">
            <v>409329</v>
          </cell>
          <cell r="CI429">
            <v>567204</v>
          </cell>
          <cell r="CJ429">
            <v>1732592.33</v>
          </cell>
          <cell r="CK429">
            <v>892693.33</v>
          </cell>
          <cell r="CL429">
            <v>713190.33</v>
          </cell>
          <cell r="CM429">
            <v>794950.33</v>
          </cell>
          <cell r="CN429">
            <v>524590.32999999996</v>
          </cell>
          <cell r="CO429">
            <v>514587.33</v>
          </cell>
          <cell r="CP429">
            <v>514587.33</v>
          </cell>
          <cell r="CQ429">
            <v>568195.32999999996</v>
          </cell>
          <cell r="CR429">
            <v>1235910</v>
          </cell>
          <cell r="CS429">
            <v>483183.82</v>
          </cell>
          <cell r="CT429">
            <v>581072.93999999994</v>
          </cell>
          <cell r="CU429">
            <v>721825.45</v>
          </cell>
          <cell r="CV429">
            <v>1401187.33</v>
          </cell>
          <cell r="CW429">
            <v>1948709.33</v>
          </cell>
          <cell r="CX429">
            <v>444635.33</v>
          </cell>
          <cell r="CY429">
            <v>918702.33</v>
          </cell>
          <cell r="CZ429">
            <v>824020.33</v>
          </cell>
          <cell r="DA429">
            <v>1050341.33</v>
          </cell>
          <cell r="DB429">
            <v>346304.33</v>
          </cell>
          <cell r="DC429">
            <v>346304.33</v>
          </cell>
          <cell r="DD429">
            <v>346304.33</v>
          </cell>
          <cell r="DE429">
            <v>346304.33</v>
          </cell>
          <cell r="DF429">
            <v>346304.33</v>
          </cell>
          <cell r="DG429">
            <v>354133.33</v>
          </cell>
          <cell r="DH429">
            <v>8673250.9600000009</v>
          </cell>
        </row>
        <row r="430">
          <cell r="A430" t="str">
            <v>4074</v>
          </cell>
          <cell r="D430">
            <v>-449</v>
          </cell>
          <cell r="E430">
            <v>0</v>
          </cell>
          <cell r="F430">
            <v>0</v>
          </cell>
          <cell r="G430">
            <v>120</v>
          </cell>
          <cell r="H430">
            <v>0</v>
          </cell>
          <cell r="I430">
            <v>-16168</v>
          </cell>
          <cell r="J430">
            <v>-551337</v>
          </cell>
          <cell r="K430">
            <v>-267863</v>
          </cell>
          <cell r="L430">
            <v>-361503</v>
          </cell>
          <cell r="M430">
            <v>-187139</v>
          </cell>
          <cell r="N430">
            <v>-71943</v>
          </cell>
          <cell r="O430">
            <v>-30478</v>
          </cell>
          <cell r="P430">
            <v>-26117</v>
          </cell>
          <cell r="Q430">
            <v>-25795</v>
          </cell>
          <cell r="R430">
            <v>-25795</v>
          </cell>
          <cell r="S430">
            <v>-25795</v>
          </cell>
          <cell r="T430">
            <v>-139270.35999999999</v>
          </cell>
          <cell r="U430">
            <v>-78805.63</v>
          </cell>
          <cell r="V430">
            <v>-130640.69</v>
          </cell>
          <cell r="W430">
            <v>-323064.52</v>
          </cell>
          <cell r="X430">
            <v>-218469.72</v>
          </cell>
          <cell r="Y430">
            <v>-509248.91</v>
          </cell>
          <cell r="Z430">
            <v>-116856.32000000001</v>
          </cell>
          <cell r="AA430">
            <v>-86845.91</v>
          </cell>
          <cell r="AB430">
            <v>-178474</v>
          </cell>
          <cell r="AC430">
            <v>-178038</v>
          </cell>
          <cell r="AD430">
            <v>-178038</v>
          </cell>
          <cell r="AE430">
            <v>-178038</v>
          </cell>
          <cell r="AF430">
            <v>-349720</v>
          </cell>
          <cell r="AG430">
            <v>-447541</v>
          </cell>
          <cell r="AH430">
            <v>-408543</v>
          </cell>
          <cell r="AI430">
            <v>-935390</v>
          </cell>
          <cell r="AJ430">
            <v>-344140</v>
          </cell>
          <cell r="AK430">
            <v>-782161</v>
          </cell>
          <cell r="AL430">
            <v>-306546</v>
          </cell>
          <cell r="AM430">
            <v>-341795</v>
          </cell>
          <cell r="AN430">
            <v>-59322</v>
          </cell>
          <cell r="AO430">
            <v>-45253</v>
          </cell>
          <cell r="AP430">
            <v>-109905</v>
          </cell>
          <cell r="AQ430">
            <v>-137919</v>
          </cell>
          <cell r="AR430">
            <v>-668825</v>
          </cell>
          <cell r="AS430">
            <v>-899674</v>
          </cell>
          <cell r="AT430">
            <v>-968188</v>
          </cell>
          <cell r="AU430">
            <v>-1159101</v>
          </cell>
          <cell r="AV430">
            <v>-713056</v>
          </cell>
          <cell r="AW430">
            <v>-1567703</v>
          </cell>
          <cell r="AX430">
            <v>-723534</v>
          </cell>
          <cell r="AY430">
            <v>-337518</v>
          </cell>
          <cell r="AZ430">
            <v>0</v>
          </cell>
          <cell r="BA430">
            <v>0</v>
          </cell>
          <cell r="BB430">
            <v>-472880</v>
          </cell>
          <cell r="BC430">
            <v>-1178357</v>
          </cell>
          <cell r="BD430">
            <v>0</v>
          </cell>
          <cell r="BE430">
            <v>-141955</v>
          </cell>
          <cell r="BF430">
            <v>-1404380</v>
          </cell>
          <cell r="BG430">
            <v>-891247</v>
          </cell>
          <cell r="BH430">
            <v>-148132</v>
          </cell>
          <cell r="BI430">
            <v>-1477193</v>
          </cell>
          <cell r="BJ430">
            <v>-268461</v>
          </cell>
          <cell r="BK430">
            <v>-7586</v>
          </cell>
          <cell r="BL430">
            <v>-119764</v>
          </cell>
          <cell r="BM430">
            <v>-174835</v>
          </cell>
          <cell r="BN430">
            <v>-119764</v>
          </cell>
          <cell r="BO430">
            <v>-119764</v>
          </cell>
          <cell r="BP430">
            <v>-237165</v>
          </cell>
          <cell r="BQ430">
            <v>-1073082</v>
          </cell>
          <cell r="BR430">
            <v>-1564647</v>
          </cell>
          <cell r="BS430">
            <v>-865141</v>
          </cell>
          <cell r="BT430">
            <v>-517878</v>
          </cell>
          <cell r="BU430">
            <v>-1033944.21</v>
          </cell>
          <cell r="BV430">
            <v>-734848.79</v>
          </cell>
          <cell r="BW430">
            <v>-519278</v>
          </cell>
          <cell r="BX430">
            <v>0</v>
          </cell>
          <cell r="BY430">
            <v>0</v>
          </cell>
          <cell r="BZ430">
            <v>0</v>
          </cell>
          <cell r="CA430">
            <v>-541125</v>
          </cell>
          <cell r="CB430">
            <v>-713524</v>
          </cell>
          <cell r="CC430">
            <v>-799801</v>
          </cell>
          <cell r="CD430">
            <v>-880400</v>
          </cell>
          <cell r="CE430">
            <v>-1147999</v>
          </cell>
          <cell r="CF430">
            <v>-1478348</v>
          </cell>
          <cell r="CG430">
            <v>-1540208</v>
          </cell>
          <cell r="CH430">
            <v>-607047</v>
          </cell>
          <cell r="CI430">
            <v>-115872</v>
          </cell>
          <cell r="CJ430">
            <v>0</v>
          </cell>
          <cell r="CK430">
            <v>0</v>
          </cell>
          <cell r="CL430">
            <v>0</v>
          </cell>
          <cell r="CM430">
            <v>1900</v>
          </cell>
          <cell r="CN430">
            <v>-8166</v>
          </cell>
          <cell r="CO430">
            <v>-65264</v>
          </cell>
          <cell r="CP430">
            <v>-383487</v>
          </cell>
          <cell r="CQ430">
            <v>-133213</v>
          </cell>
          <cell r="CR430">
            <v>-633481</v>
          </cell>
          <cell r="CS430">
            <v>-559659</v>
          </cell>
          <cell r="CT430">
            <v>-279446</v>
          </cell>
          <cell r="CU430">
            <v>-61927</v>
          </cell>
          <cell r="CV430">
            <v>0</v>
          </cell>
          <cell r="CW430">
            <v>0</v>
          </cell>
          <cell r="CX430">
            <v>-627335</v>
          </cell>
          <cell r="CY430">
            <v>0</v>
          </cell>
          <cell r="CZ430">
            <v>-476476</v>
          </cell>
          <cell r="DA430">
            <v>-176577</v>
          </cell>
          <cell r="DB430">
            <v>-1843532.5</v>
          </cell>
          <cell r="DC430">
            <v>-769216.5</v>
          </cell>
          <cell r="DD430">
            <v>-1136302.5</v>
          </cell>
          <cell r="DE430">
            <v>-707125.5</v>
          </cell>
          <cell r="DF430">
            <v>-688030.5</v>
          </cell>
          <cell r="DG430">
            <v>-266816.5</v>
          </cell>
          <cell r="DH430">
            <v>-6691412</v>
          </cell>
        </row>
        <row r="431">
          <cell r="A431" t="str">
            <v>4081</v>
          </cell>
          <cell r="D431">
            <v>3900728.63</v>
          </cell>
          <cell r="E431">
            <v>3576790.95</v>
          </cell>
          <cell r="F431">
            <v>3236058.27</v>
          </cell>
          <cell r="G431">
            <v>3026048.36</v>
          </cell>
          <cell r="H431">
            <v>2806888.43</v>
          </cell>
          <cell r="I431">
            <v>2620717.92</v>
          </cell>
          <cell r="J431">
            <v>2518056.41</v>
          </cell>
          <cell r="K431">
            <v>2150955.4900000002</v>
          </cell>
          <cell r="L431">
            <v>2559103.38</v>
          </cell>
          <cell r="M431">
            <v>2601447.5099999998</v>
          </cell>
          <cell r="N431">
            <v>2764179.48</v>
          </cell>
          <cell r="O431">
            <v>3351238.9</v>
          </cell>
          <cell r="P431">
            <v>3516551.96</v>
          </cell>
          <cell r="Q431">
            <v>3692989.66</v>
          </cell>
          <cell r="R431">
            <v>3508343.87</v>
          </cell>
          <cell r="S431">
            <v>3029851.64</v>
          </cell>
          <cell r="T431">
            <v>2658287.17</v>
          </cell>
          <cell r="U431">
            <v>2703167.19</v>
          </cell>
          <cell r="V431">
            <v>3008899.7</v>
          </cell>
          <cell r="W431">
            <v>1966851.14</v>
          </cell>
          <cell r="X431">
            <v>2595616.34</v>
          </cell>
          <cell r="Y431">
            <v>2716940.84</v>
          </cell>
          <cell r="Z431">
            <v>2810517.19</v>
          </cell>
          <cell r="AA431">
            <v>3136601.07</v>
          </cell>
          <cell r="AB431">
            <v>3699068.84</v>
          </cell>
          <cell r="AC431">
            <v>3886626.27</v>
          </cell>
          <cell r="AD431">
            <v>3544103.31</v>
          </cell>
          <cell r="AE431">
            <v>3090934.6</v>
          </cell>
          <cell r="AF431">
            <v>2977110.5</v>
          </cell>
          <cell r="AG431">
            <v>2761534.17</v>
          </cell>
          <cell r="AH431">
            <v>2721572.76</v>
          </cell>
          <cell r="AI431">
            <v>2646289.21</v>
          </cell>
          <cell r="AJ431">
            <v>2754142.86</v>
          </cell>
          <cell r="AK431">
            <v>2661219.9300000002</v>
          </cell>
          <cell r="AL431">
            <v>2430568.36</v>
          </cell>
          <cell r="AM431">
            <v>3139624.19</v>
          </cell>
          <cell r="AN431">
            <v>3585184.72</v>
          </cell>
          <cell r="AO431">
            <v>3442063.32</v>
          </cell>
          <cell r="AP431">
            <v>3377076.84</v>
          </cell>
          <cell r="AQ431">
            <v>3283577.51</v>
          </cell>
          <cell r="AR431">
            <v>2774403.19</v>
          </cell>
          <cell r="AS431">
            <v>2695535.35</v>
          </cell>
          <cell r="AT431">
            <v>2572142.87</v>
          </cell>
          <cell r="AU431">
            <v>2627913.4</v>
          </cell>
          <cell r="AV431">
            <v>2578610.96</v>
          </cell>
          <cell r="AW431">
            <v>2756832.45</v>
          </cell>
          <cell r="AX431">
            <v>2674039.12</v>
          </cell>
          <cell r="AY431">
            <v>3520899.82</v>
          </cell>
          <cell r="AZ431">
            <v>4334596.51</v>
          </cell>
          <cell r="BA431">
            <v>4015312.02</v>
          </cell>
          <cell r="BB431">
            <v>3337124.2</v>
          </cell>
          <cell r="BC431">
            <v>3589495.24</v>
          </cell>
          <cell r="BD431">
            <v>3221215.62</v>
          </cell>
          <cell r="BE431">
            <v>3014361.48</v>
          </cell>
          <cell r="BF431">
            <v>2936582.3</v>
          </cell>
          <cell r="BG431">
            <v>2981647.76</v>
          </cell>
          <cell r="BH431">
            <v>2925509</v>
          </cell>
          <cell r="BI431">
            <v>2877123.16</v>
          </cell>
          <cell r="BJ431">
            <v>2540050.87</v>
          </cell>
          <cell r="BK431">
            <v>3556648.52</v>
          </cell>
          <cell r="BL431">
            <v>4307739.33</v>
          </cell>
          <cell r="BM431">
            <v>4173065.52</v>
          </cell>
          <cell r="BN431">
            <v>3738381.25</v>
          </cell>
          <cell r="BO431">
            <v>3495798.49</v>
          </cell>
          <cell r="BP431">
            <v>3411019.13</v>
          </cell>
          <cell r="BQ431">
            <v>3099423.36</v>
          </cell>
          <cell r="BR431">
            <v>3149256.73</v>
          </cell>
          <cell r="BS431">
            <v>2655880.29</v>
          </cell>
          <cell r="BT431">
            <v>2933410.13</v>
          </cell>
          <cell r="BU431">
            <v>3022627.73</v>
          </cell>
          <cell r="BV431">
            <v>3338463.86</v>
          </cell>
          <cell r="BW431">
            <v>3904465.91</v>
          </cell>
          <cell r="BX431">
            <v>4250408.28</v>
          </cell>
          <cell r="BY431">
            <v>4388338.07</v>
          </cell>
          <cell r="BZ431">
            <v>3828557.5</v>
          </cell>
          <cell r="CA431">
            <v>3446284.32</v>
          </cell>
          <cell r="CB431">
            <v>3239483.55</v>
          </cell>
          <cell r="CC431">
            <v>3047965.42</v>
          </cell>
          <cell r="CD431">
            <v>3230459.86</v>
          </cell>
          <cell r="CE431">
            <v>3169729.55</v>
          </cell>
          <cell r="CF431">
            <v>2793302.48</v>
          </cell>
          <cell r="CG431">
            <v>3215027.13</v>
          </cell>
          <cell r="CH431">
            <v>2972960.48</v>
          </cell>
          <cell r="CI431">
            <v>3310526.72</v>
          </cell>
          <cell r="CJ431">
            <v>4930150.0999999996</v>
          </cell>
          <cell r="CK431">
            <v>4622177.08</v>
          </cell>
          <cell r="CL431">
            <v>4266596.8600000003</v>
          </cell>
          <cell r="CM431">
            <v>4290323.0599999996</v>
          </cell>
          <cell r="CN431">
            <v>4348543.2699999996</v>
          </cell>
          <cell r="CO431">
            <v>3105990.25</v>
          </cell>
          <cell r="CP431">
            <v>3879599.44</v>
          </cell>
          <cell r="CQ431">
            <v>3558072.92</v>
          </cell>
          <cell r="CR431">
            <v>2843876.53</v>
          </cell>
          <cell r="CS431">
            <v>3600052.09</v>
          </cell>
          <cell r="CT431">
            <v>3884712.46</v>
          </cell>
          <cell r="CU431">
            <v>4388583.91</v>
          </cell>
          <cell r="CV431">
            <v>5171990.68</v>
          </cell>
          <cell r="CW431">
            <v>5274757.16</v>
          </cell>
          <cell r="CX431">
            <v>4861659.2</v>
          </cell>
          <cell r="CY431">
            <v>4755937.9800000004</v>
          </cell>
          <cell r="CZ431">
            <v>4464843.93</v>
          </cell>
          <cell r="DA431">
            <v>4313233.5999999996</v>
          </cell>
          <cell r="DB431">
            <v>4030385.48</v>
          </cell>
          <cell r="DC431">
            <v>4095278.69</v>
          </cell>
          <cell r="DD431">
            <v>3364089.67</v>
          </cell>
          <cell r="DE431">
            <v>4301171.3499999996</v>
          </cell>
          <cell r="DF431">
            <v>3875646.51</v>
          </cell>
          <cell r="DG431">
            <v>5357717.79</v>
          </cell>
          <cell r="DH431">
            <v>53866712.039999999</v>
          </cell>
        </row>
        <row r="432">
          <cell r="A432" t="str">
            <v>4091</v>
          </cell>
          <cell r="D432">
            <v>2311322.62</v>
          </cell>
          <cell r="E432">
            <v>2902688.25</v>
          </cell>
          <cell r="F432">
            <v>3077094.1</v>
          </cell>
          <cell r="G432">
            <v>1559304.35</v>
          </cell>
          <cell r="H432">
            <v>1500195.37</v>
          </cell>
          <cell r="I432">
            <v>1028903.32</v>
          </cell>
          <cell r="J432">
            <v>586512.91</v>
          </cell>
          <cell r="K432">
            <v>295040.34000000003</v>
          </cell>
          <cell r="L432">
            <v>-1531844.39</v>
          </cell>
          <cell r="M432">
            <v>1706364.14</v>
          </cell>
          <cell r="N432">
            <v>-1391789.68</v>
          </cell>
          <cell r="O432">
            <v>-6024753.6500000004</v>
          </cell>
          <cell r="P432">
            <v>3511605.82</v>
          </cell>
          <cell r="Q432">
            <v>1486957.79</v>
          </cell>
          <cell r="R432">
            <v>2754928.81</v>
          </cell>
          <cell r="S432">
            <v>1145289.07</v>
          </cell>
          <cell r="T432">
            <v>967601.02</v>
          </cell>
          <cell r="U432">
            <v>1453873.02</v>
          </cell>
          <cell r="V432">
            <v>1108703.04</v>
          </cell>
          <cell r="W432">
            <v>1119369.74</v>
          </cell>
          <cell r="X432">
            <v>-302940.55</v>
          </cell>
          <cell r="Y432">
            <v>-363891.14</v>
          </cell>
          <cell r="Z432">
            <v>-260495.75</v>
          </cell>
          <cell r="AA432">
            <v>-9712054.75</v>
          </cell>
          <cell r="AB432">
            <v>2228737.0299999998</v>
          </cell>
          <cell r="AC432">
            <v>2924935.11</v>
          </cell>
          <cell r="AD432">
            <v>1094866.82</v>
          </cell>
          <cell r="AE432">
            <v>558731.92000000004</v>
          </cell>
          <cell r="AF432">
            <v>197956.07</v>
          </cell>
          <cell r="AG432">
            <v>155411.68</v>
          </cell>
          <cell r="AH432">
            <v>265820.09999999998</v>
          </cell>
          <cell r="AI432">
            <v>-930761.12</v>
          </cell>
          <cell r="AJ432">
            <v>1072918.4099999999</v>
          </cell>
          <cell r="AK432">
            <v>-760549.82</v>
          </cell>
          <cell r="AL432">
            <v>-261599.67</v>
          </cell>
          <cell r="AM432">
            <v>546673.78</v>
          </cell>
          <cell r="AN432">
            <v>2040825.61</v>
          </cell>
          <cell r="AO432">
            <v>-631584.13</v>
          </cell>
          <cell r="AP432">
            <v>194813.43</v>
          </cell>
          <cell r="AQ432">
            <v>511396.46</v>
          </cell>
          <cell r="AR432">
            <v>-842268.7</v>
          </cell>
          <cell r="AS432">
            <v>-962104.34</v>
          </cell>
          <cell r="AT432">
            <v>-972907</v>
          </cell>
          <cell r="AU432">
            <v>-1022100.66</v>
          </cell>
          <cell r="AV432">
            <v>1584073.3</v>
          </cell>
          <cell r="AW432">
            <v>-2008499.03</v>
          </cell>
          <cell r="AX432">
            <v>-1017595.27</v>
          </cell>
          <cell r="AY432">
            <v>5725359.7400000002</v>
          </cell>
          <cell r="AZ432">
            <v>3172840.78</v>
          </cell>
          <cell r="BA432">
            <v>342951.69</v>
          </cell>
          <cell r="BB432">
            <v>895317.01</v>
          </cell>
          <cell r="BC432">
            <v>1259189.22</v>
          </cell>
          <cell r="BD432">
            <v>205117.85</v>
          </cell>
          <cell r="BE432">
            <v>492073.16</v>
          </cell>
          <cell r="BF432">
            <v>166344.88</v>
          </cell>
          <cell r="BG432">
            <v>-879336.49</v>
          </cell>
          <cell r="BH432">
            <v>432770.52</v>
          </cell>
          <cell r="BI432">
            <v>-353761.9</v>
          </cell>
          <cell r="BJ432">
            <v>-3383402.33</v>
          </cell>
          <cell r="BK432">
            <v>1424397.97</v>
          </cell>
          <cell r="BL432">
            <v>1898229.81</v>
          </cell>
          <cell r="BM432">
            <v>-87759.87</v>
          </cell>
          <cell r="BN432">
            <v>1161289.22</v>
          </cell>
          <cell r="BO432">
            <v>559174.94999999995</v>
          </cell>
          <cell r="BP432">
            <v>280899.64</v>
          </cell>
          <cell r="BQ432">
            <v>192965.77</v>
          </cell>
          <cell r="BR432">
            <v>-11924.53</v>
          </cell>
          <cell r="BS432">
            <v>-33331.160000000003</v>
          </cell>
          <cell r="BT432">
            <v>122357.41</v>
          </cell>
          <cell r="BU432">
            <v>114338.06</v>
          </cell>
          <cell r="BV432">
            <v>482314.44</v>
          </cell>
          <cell r="BW432">
            <v>85023.62</v>
          </cell>
          <cell r="BX432">
            <v>3049614.09</v>
          </cell>
          <cell r="BY432">
            <v>-2074721.21</v>
          </cell>
          <cell r="BZ432">
            <v>458500.76</v>
          </cell>
          <cell r="CA432">
            <v>139401.47</v>
          </cell>
          <cell r="CB432">
            <v>-398549.92</v>
          </cell>
          <cell r="CC432">
            <v>-17852.25</v>
          </cell>
          <cell r="CD432">
            <v>-500016.4</v>
          </cell>
          <cell r="CE432">
            <v>-116709.75999999999</v>
          </cell>
          <cell r="CF432">
            <v>120395.35</v>
          </cell>
          <cell r="CG432">
            <v>-1700886.66</v>
          </cell>
          <cell r="CH432">
            <v>157810.87</v>
          </cell>
          <cell r="CI432">
            <v>323552.88</v>
          </cell>
          <cell r="CJ432">
            <v>2773724.39</v>
          </cell>
          <cell r="CK432">
            <v>1074495.75</v>
          </cell>
          <cell r="CL432">
            <v>-504079.37</v>
          </cell>
          <cell r="CM432">
            <v>954143.7</v>
          </cell>
          <cell r="CN432">
            <v>-330815.38</v>
          </cell>
          <cell r="CO432">
            <v>1955989.38</v>
          </cell>
          <cell r="CP432">
            <v>-376170.8</v>
          </cell>
          <cell r="CQ432">
            <v>581226.12</v>
          </cell>
          <cell r="CR432">
            <v>1483442.87</v>
          </cell>
          <cell r="CS432">
            <v>-1692496.25</v>
          </cell>
          <cell r="CT432">
            <v>-1659190.4</v>
          </cell>
          <cell r="CU432">
            <v>3978282.47</v>
          </cell>
          <cell r="CV432">
            <v>2808335.05</v>
          </cell>
          <cell r="CW432">
            <v>3401893.44</v>
          </cell>
          <cell r="CX432">
            <v>198240.37</v>
          </cell>
          <cell r="CY432">
            <v>1125620.96</v>
          </cell>
          <cell r="CZ432">
            <v>398227.3</v>
          </cell>
          <cell r="DA432">
            <v>279421.68</v>
          </cell>
          <cell r="DB432">
            <v>-286222.64</v>
          </cell>
          <cell r="DC432">
            <v>-3528742.49</v>
          </cell>
          <cell r="DD432">
            <v>744323.69</v>
          </cell>
          <cell r="DE432">
            <v>-650891.84</v>
          </cell>
          <cell r="DF432">
            <v>-55693.45</v>
          </cell>
          <cell r="DG432">
            <v>-71585.03</v>
          </cell>
          <cell r="DH432">
            <v>4362927.0399999991</v>
          </cell>
        </row>
        <row r="433">
          <cell r="A433" t="str">
            <v>4092</v>
          </cell>
          <cell r="D433">
            <v>11805.59</v>
          </cell>
          <cell r="E433">
            <v>29501.11</v>
          </cell>
          <cell r="F433">
            <v>-4315.67</v>
          </cell>
          <cell r="G433">
            <v>69773.03</v>
          </cell>
          <cell r="H433">
            <v>-88174.27</v>
          </cell>
          <cell r="I433">
            <v>6021.9</v>
          </cell>
          <cell r="J433">
            <v>-30264.81</v>
          </cell>
          <cell r="K433">
            <v>-205.56</v>
          </cell>
          <cell r="L433">
            <v>12789.06</v>
          </cell>
          <cell r="M433">
            <v>3687.56</v>
          </cell>
          <cell r="N433">
            <v>-1884</v>
          </cell>
          <cell r="O433">
            <v>-73481.48</v>
          </cell>
          <cell r="P433">
            <v>6276.79</v>
          </cell>
          <cell r="Q433">
            <v>-4135.96</v>
          </cell>
          <cell r="R433">
            <v>-19752.57</v>
          </cell>
          <cell r="S433">
            <v>-16626.43</v>
          </cell>
          <cell r="T433">
            <v>10034.24</v>
          </cell>
          <cell r="U433">
            <v>63832.62</v>
          </cell>
          <cell r="V433">
            <v>-6916.4</v>
          </cell>
          <cell r="W433">
            <v>686.37</v>
          </cell>
          <cell r="X433">
            <v>-55098.3</v>
          </cell>
          <cell r="Y433">
            <v>-1190.26</v>
          </cell>
          <cell r="Z433">
            <v>2078.04</v>
          </cell>
          <cell r="AA433">
            <v>200747.01</v>
          </cell>
          <cell r="AB433">
            <v>-4410.3599999999997</v>
          </cell>
          <cell r="AC433">
            <v>17900.09</v>
          </cell>
          <cell r="AD433">
            <v>-9925.41</v>
          </cell>
          <cell r="AE433">
            <v>4342.6499999999996</v>
          </cell>
          <cell r="AF433">
            <v>4499.7</v>
          </cell>
          <cell r="AG433">
            <v>-14942.42</v>
          </cell>
          <cell r="AH433">
            <v>83453.100000000006</v>
          </cell>
          <cell r="AI433">
            <v>158199.67000000001</v>
          </cell>
          <cell r="AJ433">
            <v>293901.32</v>
          </cell>
          <cell r="AK433">
            <v>348928.49</v>
          </cell>
          <cell r="AL433">
            <v>73327.27</v>
          </cell>
          <cell r="AM433">
            <v>-649371.51</v>
          </cell>
          <cell r="AN433">
            <v>108287.96</v>
          </cell>
          <cell r="AO433">
            <v>77885.19</v>
          </cell>
          <cell r="AP433">
            <v>-82968.27</v>
          </cell>
          <cell r="AQ433">
            <v>71306.460000000006</v>
          </cell>
          <cell r="AR433">
            <v>69687.77</v>
          </cell>
          <cell r="AS433">
            <v>-197242.61</v>
          </cell>
          <cell r="AT433">
            <v>58077.54</v>
          </cell>
          <cell r="AU433">
            <v>62267.25</v>
          </cell>
          <cell r="AV433">
            <v>-158640.4</v>
          </cell>
          <cell r="AW433">
            <v>64185.54</v>
          </cell>
          <cell r="AX433">
            <v>65028.5</v>
          </cell>
          <cell r="AY433">
            <v>-132944.51999999999</v>
          </cell>
          <cell r="AZ433">
            <v>47044.19</v>
          </cell>
          <cell r="BA433">
            <v>47958.5</v>
          </cell>
          <cell r="BB433">
            <v>-72836.14</v>
          </cell>
          <cell r="BC433">
            <v>25831.03</v>
          </cell>
          <cell r="BD433">
            <v>40255.230000000003</v>
          </cell>
          <cell r="BE433">
            <v>-82719.839999999997</v>
          </cell>
          <cell r="BF433">
            <v>45225.96</v>
          </cell>
          <cell r="BG433">
            <v>41191.99</v>
          </cell>
          <cell r="BH433">
            <v>-97983.62</v>
          </cell>
          <cell r="BI433">
            <v>31369.27</v>
          </cell>
          <cell r="BJ433">
            <v>32532.19</v>
          </cell>
          <cell r="BK433">
            <v>-136153.24</v>
          </cell>
          <cell r="BL433">
            <v>40657.57</v>
          </cell>
          <cell r="BM433">
            <v>43483.19</v>
          </cell>
          <cell r="BN433">
            <v>-37189.61</v>
          </cell>
          <cell r="BO433">
            <v>45595.25</v>
          </cell>
          <cell r="BP433">
            <v>39314.68</v>
          </cell>
          <cell r="BQ433">
            <v>-83908.9</v>
          </cell>
          <cell r="BR433">
            <v>46381.39</v>
          </cell>
          <cell r="BS433">
            <v>77824.55</v>
          </cell>
          <cell r="BT433">
            <v>-85861.440000000002</v>
          </cell>
          <cell r="BU433">
            <v>59880.27</v>
          </cell>
          <cell r="BV433">
            <v>57044</v>
          </cell>
          <cell r="BW433">
            <v>-129185.48</v>
          </cell>
          <cell r="BX433">
            <v>74900.95</v>
          </cell>
          <cell r="BY433">
            <v>67533.11</v>
          </cell>
          <cell r="BZ433">
            <v>-83639</v>
          </cell>
          <cell r="CA433">
            <v>80390.73</v>
          </cell>
          <cell r="CB433">
            <v>87099.11</v>
          </cell>
          <cell r="CC433">
            <v>94208.05</v>
          </cell>
          <cell r="CD433">
            <v>80852.38</v>
          </cell>
          <cell r="CE433">
            <v>87255.46</v>
          </cell>
          <cell r="CF433">
            <v>-317165.2</v>
          </cell>
          <cell r="CG433">
            <v>67378.92</v>
          </cell>
          <cell r="CH433">
            <v>50946.69</v>
          </cell>
          <cell r="CI433">
            <v>-410525.51</v>
          </cell>
          <cell r="CJ433">
            <v>73434.78</v>
          </cell>
          <cell r="CK433">
            <v>79044.53</v>
          </cell>
          <cell r="CL433">
            <v>-85309.56</v>
          </cell>
          <cell r="CM433">
            <v>75487.13</v>
          </cell>
          <cell r="CN433">
            <v>51845.84</v>
          </cell>
          <cell r="CO433">
            <v>-102745.14</v>
          </cell>
          <cell r="CP433">
            <v>57603.41</v>
          </cell>
          <cell r="CQ433">
            <v>63536.03</v>
          </cell>
          <cell r="CR433">
            <v>-88413.01</v>
          </cell>
          <cell r="CS433">
            <v>72742.33</v>
          </cell>
          <cell r="CT433">
            <v>24007.59</v>
          </cell>
          <cell r="CU433">
            <v>-97575.82</v>
          </cell>
          <cell r="CV433">
            <v>30791.97</v>
          </cell>
          <cell r="CW433">
            <v>48747.32</v>
          </cell>
          <cell r="CX433">
            <v>-9406.42</v>
          </cell>
          <cell r="CY433">
            <v>43736.86</v>
          </cell>
          <cell r="CZ433">
            <v>61132.79</v>
          </cell>
          <cell r="DA433">
            <v>48570.91</v>
          </cell>
          <cell r="DB433">
            <v>84579.21</v>
          </cell>
          <cell r="DC433">
            <v>102921.42</v>
          </cell>
          <cell r="DD433">
            <v>110967.21</v>
          </cell>
          <cell r="DE433">
            <v>51821.279999999999</v>
          </cell>
          <cell r="DF433">
            <v>72111.75</v>
          </cell>
          <cell r="DG433">
            <v>-751253</v>
          </cell>
          <cell r="DH433">
            <v>-105278.69999999995</v>
          </cell>
        </row>
        <row r="434">
          <cell r="A434" t="str">
            <v>4101</v>
          </cell>
          <cell r="D434">
            <v>797790.57</v>
          </cell>
          <cell r="E434">
            <v>-300304.7</v>
          </cell>
          <cell r="F434">
            <v>-113876.48</v>
          </cell>
          <cell r="G434">
            <v>259025.67</v>
          </cell>
          <cell r="H434">
            <v>-374515.85</v>
          </cell>
          <cell r="I434">
            <v>364456.3</v>
          </cell>
          <cell r="J434">
            <v>386811.22</v>
          </cell>
          <cell r="K434">
            <v>663651.21</v>
          </cell>
          <cell r="L434">
            <v>2342998.9900000002</v>
          </cell>
          <cell r="M434">
            <v>-366429.53</v>
          </cell>
          <cell r="N434">
            <v>3069502.86</v>
          </cell>
          <cell r="O434">
            <v>8336921.8700000001</v>
          </cell>
          <cell r="P434">
            <v>-275913.05</v>
          </cell>
          <cell r="Q434">
            <v>1517705.04</v>
          </cell>
          <cell r="R434">
            <v>-229143.11</v>
          </cell>
          <cell r="S434">
            <v>308339.71999999997</v>
          </cell>
          <cell r="T434">
            <v>364626.14</v>
          </cell>
          <cell r="U434">
            <v>113882.78</v>
          </cell>
          <cell r="V434">
            <v>-29699.14</v>
          </cell>
          <cell r="W434">
            <v>-151948.79999999999</v>
          </cell>
          <cell r="X434">
            <v>1417199.94</v>
          </cell>
          <cell r="Y434">
            <v>1646764.96</v>
          </cell>
          <cell r="Z434">
            <v>1290361.8700000001</v>
          </cell>
          <cell r="AA434">
            <v>10961767.789999999</v>
          </cell>
          <cell r="AB434">
            <v>923774.88</v>
          </cell>
          <cell r="AC434">
            <v>268317.09000000003</v>
          </cell>
          <cell r="AD434">
            <v>990508.94</v>
          </cell>
          <cell r="AE434">
            <v>1224181.94</v>
          </cell>
          <cell r="AF434">
            <v>1369396.56</v>
          </cell>
          <cell r="AG434">
            <v>715535.25</v>
          </cell>
          <cell r="AH434">
            <v>1172591.31</v>
          </cell>
          <cell r="AI434">
            <v>1298883.51</v>
          </cell>
          <cell r="AJ434">
            <v>-130656.15</v>
          </cell>
          <cell r="AK434">
            <v>1792223.13</v>
          </cell>
          <cell r="AL434">
            <v>2025072.31</v>
          </cell>
          <cell r="AM434">
            <v>1276761.0900000001</v>
          </cell>
          <cell r="AN434">
            <v>1007791.66</v>
          </cell>
          <cell r="AO434">
            <v>2803153.57</v>
          </cell>
          <cell r="AP434">
            <v>2561252.83</v>
          </cell>
          <cell r="AQ434">
            <v>1745517.27</v>
          </cell>
          <cell r="AR434">
            <v>2904990.24</v>
          </cell>
          <cell r="AS434">
            <v>2569026.12</v>
          </cell>
          <cell r="AT434">
            <v>2508529.0099999998</v>
          </cell>
          <cell r="AU434">
            <v>2444486.59</v>
          </cell>
          <cell r="AV434">
            <v>102029.45</v>
          </cell>
          <cell r="AW434">
            <v>3452167.27</v>
          </cell>
          <cell r="AX434">
            <v>2924959.95</v>
          </cell>
          <cell r="AY434">
            <v>-2419811.6800000002</v>
          </cell>
          <cell r="AZ434">
            <v>-424489.68</v>
          </cell>
          <cell r="BA434">
            <v>784354.58</v>
          </cell>
          <cell r="BB434">
            <v>-231493.34</v>
          </cell>
          <cell r="BC434">
            <v>224730.79</v>
          </cell>
          <cell r="BD434">
            <v>919013.52</v>
          </cell>
          <cell r="BE434">
            <v>539752.36</v>
          </cell>
          <cell r="BF434">
            <v>720939.07</v>
          </cell>
          <cell r="BG434">
            <v>1619453.58</v>
          </cell>
          <cell r="BH434">
            <v>836429.1</v>
          </cell>
          <cell r="BI434">
            <v>1163529.56</v>
          </cell>
          <cell r="BJ434">
            <v>4457679.3600000003</v>
          </cell>
          <cell r="BK434">
            <v>113328.6</v>
          </cell>
          <cell r="BL434">
            <v>246440.66</v>
          </cell>
          <cell r="BM434">
            <v>2016465.43</v>
          </cell>
          <cell r="BN434">
            <v>641096.55000000005</v>
          </cell>
          <cell r="BO434">
            <v>1080080.19</v>
          </cell>
          <cell r="BP434">
            <v>1176801.29</v>
          </cell>
          <cell r="BQ434">
            <v>1139163.42</v>
          </cell>
          <cell r="BR434">
            <v>944421.19</v>
          </cell>
          <cell r="BS434">
            <v>1173908.4099999999</v>
          </cell>
          <cell r="BT434">
            <v>599012.24</v>
          </cell>
          <cell r="BU434">
            <v>909892.55</v>
          </cell>
          <cell r="BV434">
            <v>858821.24</v>
          </cell>
          <cell r="BW434">
            <v>1452272.21</v>
          </cell>
          <cell r="BX434">
            <v>-678148.9</v>
          </cell>
          <cell r="BY434">
            <v>3783401.71</v>
          </cell>
          <cell r="BZ434">
            <v>983157.33</v>
          </cell>
          <cell r="CA434">
            <v>840155.65</v>
          </cell>
          <cell r="CB434">
            <v>1294461.54</v>
          </cell>
          <cell r="CC434">
            <v>911790.04</v>
          </cell>
          <cell r="CD434">
            <v>1291428.43</v>
          </cell>
          <cell r="CE434">
            <v>1019109.73</v>
          </cell>
          <cell r="CF434">
            <v>1259997.56</v>
          </cell>
          <cell r="CG434">
            <v>1943284.86</v>
          </cell>
          <cell r="CH434">
            <v>1351955.5</v>
          </cell>
          <cell r="CI434">
            <v>1079410.44</v>
          </cell>
          <cell r="CJ434">
            <v>675422.61</v>
          </cell>
          <cell r="CK434">
            <v>1189381.5</v>
          </cell>
          <cell r="CL434">
            <v>2754279.95</v>
          </cell>
          <cell r="CM434">
            <v>1355641.68</v>
          </cell>
          <cell r="CN434">
            <v>1901529.35</v>
          </cell>
          <cell r="CO434">
            <v>-395914.15</v>
          </cell>
          <cell r="CP434">
            <v>1617623.67</v>
          </cell>
          <cell r="CQ434">
            <v>729649.99</v>
          </cell>
          <cell r="CR434">
            <v>-747066.9</v>
          </cell>
          <cell r="CS434">
            <v>3026643.52</v>
          </cell>
          <cell r="CT434">
            <v>3801132.44</v>
          </cell>
          <cell r="CU434">
            <v>-2616528.1</v>
          </cell>
          <cell r="CV434">
            <v>447989.75</v>
          </cell>
          <cell r="CW434">
            <v>-533495.37</v>
          </cell>
          <cell r="CX434">
            <v>3034364.22</v>
          </cell>
          <cell r="CY434">
            <v>1018819.87</v>
          </cell>
          <cell r="CZ434">
            <v>1546580.43</v>
          </cell>
          <cell r="DA434">
            <v>1632224.02</v>
          </cell>
          <cell r="DB434">
            <v>1491018.23</v>
          </cell>
          <cell r="DC434">
            <v>4979215.91</v>
          </cell>
          <cell r="DD434">
            <v>1450781.13</v>
          </cell>
          <cell r="DE434">
            <v>2165864.66</v>
          </cell>
          <cell r="DF434">
            <v>1890697.16</v>
          </cell>
          <cell r="DG434">
            <v>2410974.19</v>
          </cell>
          <cell r="DH434">
            <v>21535034.200000003</v>
          </cell>
        </row>
        <row r="435">
          <cell r="A435" t="str">
            <v>4102</v>
          </cell>
          <cell r="AK435">
            <v>0</v>
          </cell>
          <cell r="AL435">
            <v>0</v>
          </cell>
          <cell r="AM435">
            <v>-7.37</v>
          </cell>
          <cell r="AN435">
            <v>0</v>
          </cell>
          <cell r="AO435">
            <v>0</v>
          </cell>
          <cell r="AP435">
            <v>7.37</v>
          </cell>
          <cell r="AQ435">
            <v>0</v>
          </cell>
          <cell r="AR435">
            <v>0</v>
          </cell>
          <cell r="AS435">
            <v>0</v>
          </cell>
          <cell r="AT435">
            <v>0</v>
          </cell>
          <cell r="AU435">
            <v>0</v>
          </cell>
          <cell r="AV435">
            <v>0</v>
          </cell>
          <cell r="AW435">
            <v>21.93</v>
          </cell>
          <cell r="AX435">
            <v>-21.93</v>
          </cell>
          <cell r="AY435">
            <v>0</v>
          </cell>
          <cell r="AZ435">
            <v>0</v>
          </cell>
          <cell r="BA435">
            <v>0</v>
          </cell>
          <cell r="BB435">
            <v>0</v>
          </cell>
          <cell r="BC435">
            <v>0</v>
          </cell>
          <cell r="BD435">
            <v>0</v>
          </cell>
          <cell r="BE435">
            <v>20.91</v>
          </cell>
          <cell r="BF435">
            <v>309.99</v>
          </cell>
          <cell r="BG435">
            <v>-69.38</v>
          </cell>
          <cell r="BH435">
            <v>339.16</v>
          </cell>
          <cell r="BI435">
            <v>-482.03</v>
          </cell>
          <cell r="BJ435">
            <v>-301.77999999999997</v>
          </cell>
          <cell r="BK435">
            <v>-585.22</v>
          </cell>
          <cell r="BL435">
            <v>806.18</v>
          </cell>
          <cell r="BM435">
            <v>-78.36</v>
          </cell>
          <cell r="BN435">
            <v>0</v>
          </cell>
          <cell r="BO435">
            <v>-1210.69</v>
          </cell>
          <cell r="BP435">
            <v>-477.01</v>
          </cell>
          <cell r="BQ435">
            <v>1425.55</v>
          </cell>
          <cell r="BR435">
            <v>1192.77</v>
          </cell>
          <cell r="BS435">
            <v>-885.14</v>
          </cell>
          <cell r="BT435">
            <v>-14.88</v>
          </cell>
          <cell r="BU435">
            <v>-39.35</v>
          </cell>
          <cell r="BV435">
            <v>82.34</v>
          </cell>
          <cell r="BW435">
            <v>14.49</v>
          </cell>
          <cell r="BX435">
            <v>0</v>
          </cell>
          <cell r="BY435">
            <v>0</v>
          </cell>
          <cell r="BZ435">
            <v>0</v>
          </cell>
          <cell r="CA435">
            <v>0</v>
          </cell>
          <cell r="CB435">
            <v>0</v>
          </cell>
          <cell r="CC435">
            <v>0</v>
          </cell>
          <cell r="CD435">
            <v>0</v>
          </cell>
          <cell r="CE435">
            <v>0</v>
          </cell>
          <cell r="CF435">
            <v>0</v>
          </cell>
          <cell r="CG435">
            <v>0</v>
          </cell>
          <cell r="CH435">
            <v>0</v>
          </cell>
          <cell r="CI435">
            <v>0</v>
          </cell>
          <cell r="CJ435">
            <v>0</v>
          </cell>
          <cell r="CK435">
            <v>0</v>
          </cell>
          <cell r="CL435">
            <v>0</v>
          </cell>
          <cell r="CM435">
            <v>0</v>
          </cell>
          <cell r="CN435">
            <v>0</v>
          </cell>
          <cell r="CO435">
            <v>0</v>
          </cell>
          <cell r="CP435">
            <v>0</v>
          </cell>
          <cell r="CQ435">
            <v>0</v>
          </cell>
          <cell r="CR435">
            <v>0</v>
          </cell>
          <cell r="CS435">
            <v>0</v>
          </cell>
          <cell r="CT435">
            <v>0</v>
          </cell>
          <cell r="CU435">
            <v>0</v>
          </cell>
          <cell r="CV435">
            <v>0</v>
          </cell>
          <cell r="CW435">
            <v>0</v>
          </cell>
          <cell r="CX435">
            <v>0</v>
          </cell>
          <cell r="CY435">
            <v>0</v>
          </cell>
          <cell r="CZ435">
            <v>0</v>
          </cell>
          <cell r="DA435">
            <v>0</v>
          </cell>
          <cell r="DB435">
            <v>0</v>
          </cell>
          <cell r="DC435">
            <v>0</v>
          </cell>
          <cell r="DD435">
            <v>0</v>
          </cell>
          <cell r="DE435">
            <v>0</v>
          </cell>
          <cell r="DF435">
            <v>0</v>
          </cell>
          <cell r="DG435">
            <v>0</v>
          </cell>
          <cell r="DH435">
            <v>0</v>
          </cell>
        </row>
        <row r="436">
          <cell r="A436" t="str">
            <v>4120</v>
          </cell>
          <cell r="AE436">
            <v>0</v>
          </cell>
          <cell r="AF436">
            <v>-235245.67</v>
          </cell>
          <cell r="AG436">
            <v>-84738.62</v>
          </cell>
          <cell r="AH436">
            <v>-84738.62</v>
          </cell>
          <cell r="AI436">
            <v>-84738.62</v>
          </cell>
          <cell r="AJ436">
            <v>-84738.62</v>
          </cell>
          <cell r="AK436">
            <v>-106698.62</v>
          </cell>
          <cell r="AL436">
            <v>-106698.62</v>
          </cell>
          <cell r="AM436">
            <v>-106698.62</v>
          </cell>
          <cell r="AN436">
            <v>-106698.62</v>
          </cell>
          <cell r="AO436">
            <v>-106698.62</v>
          </cell>
          <cell r="AP436">
            <v>-106735.81</v>
          </cell>
          <cell r="AQ436">
            <v>-193421.26</v>
          </cell>
          <cell r="AR436">
            <v>-193458.45</v>
          </cell>
          <cell r="AS436">
            <v>-193458.45</v>
          </cell>
          <cell r="AT436">
            <v>-193458.45</v>
          </cell>
          <cell r="AU436">
            <v>-193458.45</v>
          </cell>
          <cell r="AV436">
            <v>-193458.45</v>
          </cell>
          <cell r="AW436">
            <v>-223789.45</v>
          </cell>
          <cell r="AX436">
            <v>-223789.45</v>
          </cell>
          <cell r="AY436">
            <v>-223789.45</v>
          </cell>
          <cell r="AZ436">
            <v>-223789.45</v>
          </cell>
          <cell r="BA436">
            <v>-223789.45</v>
          </cell>
          <cell r="BB436">
            <v>-223789.45</v>
          </cell>
          <cell r="BC436">
            <v>-223789.45</v>
          </cell>
          <cell r="BD436">
            <v>-223789.45</v>
          </cell>
          <cell r="BE436">
            <v>-223789.45</v>
          </cell>
          <cell r="BF436">
            <v>-223789.45</v>
          </cell>
          <cell r="BG436">
            <v>-223789.45</v>
          </cell>
          <cell r="BH436">
            <v>-223789.45</v>
          </cell>
          <cell r="BI436">
            <v>-223789.45</v>
          </cell>
          <cell r="BJ436">
            <v>-223789.45</v>
          </cell>
          <cell r="BK436">
            <v>-223789.45</v>
          </cell>
          <cell r="BL436">
            <v>-223789.45</v>
          </cell>
          <cell r="BM436">
            <v>-223789.45</v>
          </cell>
          <cell r="BN436">
            <v>-255542.13</v>
          </cell>
          <cell r="BO436">
            <v>-239665.79</v>
          </cell>
          <cell r="BP436">
            <v>-239665.79</v>
          </cell>
          <cell r="BQ436">
            <v>-239665.79</v>
          </cell>
          <cell r="BR436">
            <v>-239665.79</v>
          </cell>
          <cell r="BS436">
            <v>-239665.79</v>
          </cell>
          <cell r="BT436">
            <v>-239665.79</v>
          </cell>
          <cell r="BU436">
            <v>-239665.79</v>
          </cell>
          <cell r="BV436">
            <v>-239665.79</v>
          </cell>
          <cell r="BW436">
            <v>-239665.79</v>
          </cell>
          <cell r="BX436">
            <v>-239665.79</v>
          </cell>
          <cell r="BY436">
            <v>-239665.79</v>
          </cell>
          <cell r="BZ436">
            <v>-239665.79</v>
          </cell>
          <cell r="CA436">
            <v>-239665.79</v>
          </cell>
          <cell r="CB436">
            <v>-191777.77</v>
          </cell>
          <cell r="CC436">
            <v>-215721.78</v>
          </cell>
          <cell r="CD436">
            <v>-215721.78</v>
          </cell>
          <cell r="CE436">
            <v>-215721.78</v>
          </cell>
          <cell r="CF436">
            <v>-215721.78</v>
          </cell>
          <cell r="CG436">
            <v>-207350.78</v>
          </cell>
          <cell r="CH436">
            <v>-207350.78</v>
          </cell>
          <cell r="CI436">
            <v>-207350.78</v>
          </cell>
          <cell r="CJ436">
            <v>-207350.78</v>
          </cell>
          <cell r="CK436">
            <v>-207350.78</v>
          </cell>
          <cell r="CL436">
            <v>-207350.78</v>
          </cell>
          <cell r="CM436">
            <v>-207350.78</v>
          </cell>
          <cell r="CN436">
            <v>-207350.78</v>
          </cell>
          <cell r="CO436">
            <v>-207350.78</v>
          </cell>
          <cell r="CP436">
            <v>-207350.78</v>
          </cell>
          <cell r="CQ436">
            <v>-207350.78</v>
          </cell>
          <cell r="CR436">
            <v>-207350.78</v>
          </cell>
          <cell r="CS436">
            <v>-207350.78</v>
          </cell>
          <cell r="CT436">
            <v>-207350.78</v>
          </cell>
          <cell r="CU436">
            <v>-207350.78</v>
          </cell>
          <cell r="CV436">
            <v>-207350.78</v>
          </cell>
          <cell r="CW436">
            <v>-207350.78</v>
          </cell>
          <cell r="CX436">
            <v>-207350.78</v>
          </cell>
          <cell r="CY436">
            <v>-163430.78</v>
          </cell>
          <cell r="CZ436">
            <v>-163430.78</v>
          </cell>
          <cell r="DA436">
            <v>-160597.23000000001</v>
          </cell>
          <cell r="DB436">
            <v>-139115.15</v>
          </cell>
          <cell r="DC436">
            <v>-37799.15</v>
          </cell>
          <cell r="DD436">
            <v>-37799.15</v>
          </cell>
          <cell r="DE436">
            <v>-37799.15</v>
          </cell>
          <cell r="DF436">
            <v>-37799.15</v>
          </cell>
          <cell r="DG436">
            <v>-37799.15</v>
          </cell>
          <cell r="DH436">
            <v>-1437622.0299999996</v>
          </cell>
        </row>
        <row r="437">
          <cell r="A437" t="str">
            <v>4130</v>
          </cell>
          <cell r="AE437">
            <v>0</v>
          </cell>
          <cell r="AF437">
            <v>59935.28</v>
          </cell>
          <cell r="AG437">
            <v>29792.75</v>
          </cell>
          <cell r="AH437">
            <v>26012.6</v>
          </cell>
          <cell r="AI437">
            <v>0</v>
          </cell>
          <cell r="AJ437">
            <v>26012.6</v>
          </cell>
          <cell r="AK437">
            <v>29621.89</v>
          </cell>
          <cell r="AL437">
            <v>28176.42</v>
          </cell>
          <cell r="AM437">
            <v>63769.66</v>
          </cell>
          <cell r="AN437">
            <v>34276.04</v>
          </cell>
          <cell r="AO437">
            <v>2574.23</v>
          </cell>
          <cell r="AP437">
            <v>67540.070000000007</v>
          </cell>
          <cell r="AQ437">
            <v>94223.15</v>
          </cell>
          <cell r="AR437">
            <v>-54538.32</v>
          </cell>
          <cell r="AS437">
            <v>109525.14</v>
          </cell>
          <cell r="AT437">
            <v>889.54</v>
          </cell>
          <cell r="AU437">
            <v>6512.74</v>
          </cell>
          <cell r="AV437">
            <v>144.33000000000001</v>
          </cell>
          <cell r="AW437">
            <v>277739.28000000003</v>
          </cell>
          <cell r="AX437">
            <v>78537.850000000006</v>
          </cell>
          <cell r="AY437">
            <v>92366.75</v>
          </cell>
          <cell r="AZ437">
            <v>81461.37</v>
          </cell>
          <cell r="BA437">
            <v>-83106.259999999995</v>
          </cell>
          <cell r="BB437">
            <v>229286.68</v>
          </cell>
          <cell r="BC437">
            <v>73789.39</v>
          </cell>
          <cell r="BD437">
            <v>75324.44</v>
          </cell>
          <cell r="BE437">
            <v>77558.559999999998</v>
          </cell>
          <cell r="BF437">
            <v>77403.22</v>
          </cell>
          <cell r="BG437">
            <v>157507.70000000001</v>
          </cell>
          <cell r="BH437">
            <v>80487.7</v>
          </cell>
          <cell r="BI437">
            <v>80153.58</v>
          </cell>
          <cell r="BJ437">
            <v>77357.2</v>
          </cell>
          <cell r="BK437">
            <v>60033.36</v>
          </cell>
          <cell r="BL437">
            <v>75108.36</v>
          </cell>
          <cell r="BM437">
            <v>75647.7</v>
          </cell>
          <cell r="BN437">
            <v>80738.600000000006</v>
          </cell>
          <cell r="BO437">
            <v>75403.45</v>
          </cell>
          <cell r="BP437">
            <v>75166.86</v>
          </cell>
          <cell r="BQ437">
            <v>77013.210000000006</v>
          </cell>
          <cell r="BR437">
            <v>74658.36</v>
          </cell>
          <cell r="BS437">
            <v>77510.62</v>
          </cell>
          <cell r="BT437">
            <v>75736.929999999993</v>
          </cell>
          <cell r="BU437">
            <v>76206.86</v>
          </cell>
          <cell r="BV437">
            <v>75323</v>
          </cell>
          <cell r="BW437">
            <v>76159.63</v>
          </cell>
          <cell r="BX437">
            <v>76488.67</v>
          </cell>
          <cell r="BY437">
            <v>75613.899999999994</v>
          </cell>
          <cell r="BZ437">
            <v>74868.460000000006</v>
          </cell>
          <cell r="CA437">
            <v>75878.070000000007</v>
          </cell>
          <cell r="CB437">
            <v>76544.67</v>
          </cell>
          <cell r="CC437">
            <v>68725.490000000005</v>
          </cell>
          <cell r="CD437">
            <v>49440.9</v>
          </cell>
          <cell r="CE437">
            <v>66950.42</v>
          </cell>
          <cell r="CF437">
            <v>66531.509999999995</v>
          </cell>
          <cell r="CG437">
            <v>62960.08</v>
          </cell>
          <cell r="CH437">
            <v>7368.81</v>
          </cell>
          <cell r="CI437">
            <v>126476.23</v>
          </cell>
          <cell r="CJ437">
            <v>63222.29</v>
          </cell>
          <cell r="CK437">
            <v>62731.43</v>
          </cell>
          <cell r="CL437">
            <v>66923.62</v>
          </cell>
          <cell r="CM437">
            <v>62796.1</v>
          </cell>
          <cell r="CN437">
            <v>66674.960000000006</v>
          </cell>
          <cell r="CO437">
            <v>63362.68</v>
          </cell>
          <cell r="CP437">
            <v>65617.02</v>
          </cell>
          <cell r="CQ437">
            <v>62590.45</v>
          </cell>
          <cell r="CR437">
            <v>63359.73</v>
          </cell>
          <cell r="CS437">
            <v>63379.74</v>
          </cell>
          <cell r="CT437">
            <v>61543.93</v>
          </cell>
          <cell r="CU437">
            <v>100866.23</v>
          </cell>
          <cell r="CV437">
            <v>62482.400000000001</v>
          </cell>
          <cell r="CW437">
            <v>64619.35</v>
          </cell>
          <cell r="CX437">
            <v>61482.35</v>
          </cell>
          <cell r="CY437">
            <v>47749.97</v>
          </cell>
          <cell r="CZ437">
            <v>48170.6</v>
          </cell>
          <cell r="DA437">
            <v>48238.65</v>
          </cell>
          <cell r="DB437">
            <v>35159.08</v>
          </cell>
          <cell r="DC437">
            <v>308.99</v>
          </cell>
          <cell r="DD437">
            <v>3561.78</v>
          </cell>
          <cell r="DE437">
            <v>3082.76</v>
          </cell>
          <cell r="DF437">
            <v>2637.98</v>
          </cell>
          <cell r="DG437">
            <v>2473.5700000000002</v>
          </cell>
          <cell r="DH437">
            <v>379967.48000000004</v>
          </cell>
        </row>
        <row r="438">
          <cell r="A438" t="str">
            <v>4150</v>
          </cell>
          <cell r="D438">
            <v>-1875</v>
          </cell>
          <cell r="E438">
            <v>3655</v>
          </cell>
          <cell r="F438">
            <v>-1145</v>
          </cell>
          <cell r="G438">
            <v>-10415</v>
          </cell>
          <cell r="H438">
            <v>1325</v>
          </cell>
          <cell r="I438">
            <v>-1560</v>
          </cell>
          <cell r="J438">
            <v>-1000</v>
          </cell>
          <cell r="K438">
            <v>-42.5</v>
          </cell>
          <cell r="L438">
            <v>-2900</v>
          </cell>
          <cell r="M438">
            <v>-468</v>
          </cell>
          <cell r="N438">
            <v>965.5</v>
          </cell>
          <cell r="O438">
            <v>-75</v>
          </cell>
          <cell r="P438">
            <v>-9126</v>
          </cell>
          <cell r="Q438">
            <v>5641.39</v>
          </cell>
          <cell r="R438">
            <v>-70</v>
          </cell>
          <cell r="S438">
            <v>-73</v>
          </cell>
          <cell r="T438">
            <v>-3135</v>
          </cell>
          <cell r="U438">
            <v>1385</v>
          </cell>
          <cell r="V438">
            <v>-455</v>
          </cell>
          <cell r="W438">
            <v>-780</v>
          </cell>
          <cell r="X438">
            <v>-1772</v>
          </cell>
          <cell r="Y438">
            <v>-640</v>
          </cell>
          <cell r="Z438">
            <v>-75</v>
          </cell>
          <cell r="AA438">
            <v>-1222</v>
          </cell>
          <cell r="AB438">
            <v>-255</v>
          </cell>
          <cell r="AC438">
            <v>-850</v>
          </cell>
          <cell r="AD438">
            <v>-585</v>
          </cell>
          <cell r="AE438">
            <v>-510</v>
          </cell>
          <cell r="AF438">
            <v>-2080</v>
          </cell>
          <cell r="AG438">
            <v>-5455</v>
          </cell>
          <cell r="AH438">
            <v>-875</v>
          </cell>
          <cell r="AI438">
            <v>-810</v>
          </cell>
          <cell r="AJ438">
            <v>125.77</v>
          </cell>
          <cell r="AK438">
            <v>-4210</v>
          </cell>
          <cell r="AL438">
            <v>0</v>
          </cell>
          <cell r="AM438">
            <v>2335</v>
          </cell>
          <cell r="AN438">
            <v>0</v>
          </cell>
          <cell r="AO438">
            <v>0</v>
          </cell>
          <cell r="AP438">
            <v>0</v>
          </cell>
          <cell r="AQ438">
            <v>0</v>
          </cell>
          <cell r="AR438">
            <v>0</v>
          </cell>
          <cell r="AS438">
            <v>-260</v>
          </cell>
          <cell r="AT438">
            <v>0</v>
          </cell>
          <cell r="AU438">
            <v>-140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1564.43</v>
          </cell>
          <cell r="BU438">
            <v>0</v>
          </cell>
          <cell r="BV438">
            <v>1112.5899999999999</v>
          </cell>
          <cell r="BW438">
            <v>-1895.21</v>
          </cell>
          <cell r="BX438">
            <v>-271.35000000000002</v>
          </cell>
          <cell r="BY438">
            <v>-4107.51</v>
          </cell>
          <cell r="BZ438">
            <v>319.36</v>
          </cell>
          <cell r="CA438">
            <v>-4678.4799999999996</v>
          </cell>
          <cell r="CB438">
            <v>-121.46</v>
          </cell>
          <cell r="CC438">
            <v>0</v>
          </cell>
          <cell r="CD438">
            <v>406.16</v>
          </cell>
          <cell r="CE438">
            <v>-6245.23</v>
          </cell>
          <cell r="CF438">
            <v>297.63</v>
          </cell>
          <cell r="CG438">
            <v>16055.95</v>
          </cell>
          <cell r="CH438">
            <v>262.72000000000003</v>
          </cell>
          <cell r="CI438">
            <v>209.41</v>
          </cell>
          <cell r="CJ438">
            <v>0</v>
          </cell>
          <cell r="CK438">
            <v>0</v>
          </cell>
          <cell r="CL438">
            <v>560.01</v>
          </cell>
          <cell r="CM438">
            <v>389.45</v>
          </cell>
          <cell r="CN438">
            <v>366.93</v>
          </cell>
          <cell r="CO438">
            <v>405.87</v>
          </cell>
          <cell r="CP438">
            <v>251.35</v>
          </cell>
          <cell r="CQ438">
            <v>723.79</v>
          </cell>
          <cell r="CR438">
            <v>332.88</v>
          </cell>
          <cell r="CS438">
            <v>0</v>
          </cell>
          <cell r="CT438">
            <v>647.57000000000005</v>
          </cell>
          <cell r="CU438">
            <v>228.43</v>
          </cell>
          <cell r="CV438">
            <v>64.459999999999994</v>
          </cell>
          <cell r="CW438">
            <v>268.54000000000002</v>
          </cell>
          <cell r="CX438">
            <v>344.6</v>
          </cell>
          <cell r="CY438">
            <v>401.07</v>
          </cell>
          <cell r="CZ438">
            <v>0</v>
          </cell>
          <cell r="DA438">
            <v>461.43</v>
          </cell>
          <cell r="DB438">
            <v>379.61</v>
          </cell>
          <cell r="DC438">
            <v>0</v>
          </cell>
          <cell r="DD438">
            <v>0</v>
          </cell>
          <cell r="DE438">
            <v>0</v>
          </cell>
          <cell r="DF438">
            <v>0</v>
          </cell>
          <cell r="DG438">
            <v>-16490.150000000001</v>
          </cell>
          <cell r="DH438">
            <v>-14570.440000000002</v>
          </cell>
        </row>
        <row r="439">
          <cell r="A439" t="str">
            <v>4160</v>
          </cell>
          <cell r="D439">
            <v>3539.47</v>
          </cell>
          <cell r="E439">
            <v>-16307.33</v>
          </cell>
          <cell r="F439">
            <v>14206.66</v>
          </cell>
          <cell r="G439">
            <v>14234.5</v>
          </cell>
          <cell r="H439">
            <v>9754.2800000000007</v>
          </cell>
          <cell r="I439">
            <v>4514.58</v>
          </cell>
          <cell r="J439">
            <v>10090.469999999999</v>
          </cell>
          <cell r="K439">
            <v>-9600.18</v>
          </cell>
          <cell r="L439">
            <v>-7703.73</v>
          </cell>
          <cell r="M439">
            <v>-2399.52</v>
          </cell>
          <cell r="N439">
            <v>394.72</v>
          </cell>
          <cell r="O439">
            <v>124374.7</v>
          </cell>
          <cell r="P439">
            <v>2229.9299999999998</v>
          </cell>
          <cell r="Q439">
            <v>2334.5100000000002</v>
          </cell>
          <cell r="R439">
            <v>-5763.95</v>
          </cell>
          <cell r="S439">
            <v>-4675.8900000000003</v>
          </cell>
          <cell r="T439">
            <v>1634.73</v>
          </cell>
          <cell r="U439">
            <v>2942.74</v>
          </cell>
          <cell r="V439">
            <v>-18335.62</v>
          </cell>
          <cell r="W439">
            <v>1029.46</v>
          </cell>
          <cell r="X439">
            <v>1176.81</v>
          </cell>
          <cell r="Y439">
            <v>-3342.67</v>
          </cell>
          <cell r="Z439">
            <v>-16837.87</v>
          </cell>
          <cell r="AA439">
            <v>92205.06</v>
          </cell>
          <cell r="AB439">
            <v>1042.7</v>
          </cell>
          <cell r="AC439">
            <v>1131.72</v>
          </cell>
          <cell r="AD439">
            <v>-12506.92</v>
          </cell>
          <cell r="AE439">
            <v>-1657.83</v>
          </cell>
          <cell r="AF439">
            <v>0</v>
          </cell>
          <cell r="AG439">
            <v>-400</v>
          </cell>
          <cell r="AH439">
            <v>-1908.52</v>
          </cell>
          <cell r="AI439">
            <v>882.52</v>
          </cell>
          <cell r="AJ439">
            <v>95.73</v>
          </cell>
          <cell r="AK439">
            <v>0</v>
          </cell>
          <cell r="AL439">
            <v>400.81</v>
          </cell>
          <cell r="AM439">
            <v>63620</v>
          </cell>
          <cell r="AN439">
            <v>-125</v>
          </cell>
          <cell r="AO439">
            <v>0</v>
          </cell>
          <cell r="AP439">
            <v>-26689.71</v>
          </cell>
          <cell r="AQ439">
            <v>0</v>
          </cell>
          <cell r="AR439">
            <v>0</v>
          </cell>
          <cell r="AS439">
            <v>-3879.98</v>
          </cell>
          <cell r="AT439">
            <v>764.25</v>
          </cell>
          <cell r="AU439">
            <v>249.83</v>
          </cell>
          <cell r="AV439">
            <v>44.61</v>
          </cell>
          <cell r="AW439">
            <v>28.42</v>
          </cell>
          <cell r="AX439">
            <v>710.23</v>
          </cell>
          <cell r="AY439">
            <v>-37947</v>
          </cell>
          <cell r="AZ439">
            <v>36.43</v>
          </cell>
          <cell r="BA439">
            <v>-14279.87</v>
          </cell>
          <cell r="BB439">
            <v>-2460.94</v>
          </cell>
          <cell r="BC439">
            <v>-22589.25</v>
          </cell>
          <cell r="BD439">
            <v>32.590000000000003</v>
          </cell>
          <cell r="BE439">
            <v>-3943.19</v>
          </cell>
          <cell r="BF439">
            <v>-5781.88</v>
          </cell>
          <cell r="BG439">
            <v>-7777.3</v>
          </cell>
          <cell r="BH439">
            <v>-5393.89</v>
          </cell>
          <cell r="BI439">
            <v>239.08</v>
          </cell>
          <cell r="BJ439">
            <v>218.27</v>
          </cell>
          <cell r="BK439">
            <v>316.47000000000003</v>
          </cell>
          <cell r="BL439">
            <v>753.97</v>
          </cell>
          <cell r="BM439">
            <v>-3809.22</v>
          </cell>
          <cell r="BN439">
            <v>115.45</v>
          </cell>
          <cell r="BO439">
            <v>145.88999999999999</v>
          </cell>
          <cell r="BP439">
            <v>-5830.38</v>
          </cell>
          <cell r="BQ439">
            <v>128.44</v>
          </cell>
          <cell r="BR439">
            <v>275.52</v>
          </cell>
          <cell r="BS439">
            <v>-571.84</v>
          </cell>
          <cell r="BT439">
            <v>156.44</v>
          </cell>
          <cell r="BU439">
            <v>-3437.29</v>
          </cell>
          <cell r="BV439">
            <v>375.27</v>
          </cell>
          <cell r="BW439">
            <v>186.41</v>
          </cell>
          <cell r="BX439">
            <v>573.27</v>
          </cell>
          <cell r="BY439">
            <v>1194.47</v>
          </cell>
          <cell r="BZ439">
            <v>516.41999999999996</v>
          </cell>
          <cell r="CA439">
            <v>471.07</v>
          </cell>
          <cell r="CB439">
            <v>2559.56</v>
          </cell>
          <cell r="CC439">
            <v>-3701.68</v>
          </cell>
          <cell r="CD439">
            <v>221.82</v>
          </cell>
          <cell r="CE439">
            <v>272.27</v>
          </cell>
          <cell r="CF439">
            <v>381.97</v>
          </cell>
          <cell r="CG439">
            <v>962.02</v>
          </cell>
          <cell r="CH439">
            <v>602.87</v>
          </cell>
          <cell r="CI439">
            <v>3886.81</v>
          </cell>
          <cell r="CJ439">
            <v>2667.96</v>
          </cell>
          <cell r="CK439">
            <v>2689.41</v>
          </cell>
          <cell r="CL439">
            <v>1819.43</v>
          </cell>
          <cell r="CM439">
            <v>-6854.96</v>
          </cell>
          <cell r="CN439">
            <v>225.86</v>
          </cell>
          <cell r="CO439">
            <v>1238.1600000000001</v>
          </cell>
          <cell r="CP439">
            <v>1080.22</v>
          </cell>
          <cell r="CQ439">
            <v>932.52</v>
          </cell>
          <cell r="CR439">
            <v>2309.46</v>
          </cell>
          <cell r="CS439">
            <v>1974.72</v>
          </cell>
          <cell r="CT439">
            <v>2411.87</v>
          </cell>
          <cell r="CU439">
            <v>2038.32</v>
          </cell>
          <cell r="CV439">
            <v>1771.05</v>
          </cell>
          <cell r="CW439">
            <v>1001.39</v>
          </cell>
          <cell r="CX439">
            <v>1149.2</v>
          </cell>
          <cell r="CY439">
            <v>342.76</v>
          </cell>
          <cell r="CZ439">
            <v>377.86</v>
          </cell>
          <cell r="DA439">
            <v>2135.5100000000002</v>
          </cell>
          <cell r="DB439">
            <v>48.11</v>
          </cell>
          <cell r="DC439">
            <v>792.49</v>
          </cell>
          <cell r="DD439">
            <v>74.489999999999995</v>
          </cell>
          <cell r="DE439">
            <v>1316.14</v>
          </cell>
          <cell r="DF439">
            <v>3478.96</v>
          </cell>
          <cell r="DG439">
            <v>-8248.69</v>
          </cell>
          <cell r="DH439">
            <v>4239.2699999999986</v>
          </cell>
        </row>
        <row r="440">
          <cell r="A440" t="str">
            <v>4181</v>
          </cell>
          <cell r="D440">
            <v>-214296.28</v>
          </cell>
          <cell r="E440">
            <v>-330590.94</v>
          </cell>
          <cell r="F440">
            <v>-206491.26</v>
          </cell>
          <cell r="G440">
            <v>-280856.64</v>
          </cell>
          <cell r="H440">
            <v>-178527.23</v>
          </cell>
          <cell r="I440">
            <v>-262447.71999999997</v>
          </cell>
          <cell r="J440">
            <v>-240575.55</v>
          </cell>
          <cell r="K440">
            <v>-197832.04</v>
          </cell>
          <cell r="L440">
            <v>-68753.320000000007</v>
          </cell>
          <cell r="M440">
            <v>-294246.26</v>
          </cell>
          <cell r="N440">
            <v>-168347.11</v>
          </cell>
          <cell r="O440">
            <v>-192880.57</v>
          </cell>
          <cell r="P440">
            <v>-390775.07</v>
          </cell>
          <cell r="Q440">
            <v>-210884.69</v>
          </cell>
          <cell r="R440">
            <v>-150763.29</v>
          </cell>
          <cell r="S440">
            <v>-117072.92</v>
          </cell>
          <cell r="T440">
            <v>-224359.7</v>
          </cell>
          <cell r="U440">
            <v>-216294.17</v>
          </cell>
          <cell r="V440">
            <v>-152920.16</v>
          </cell>
          <cell r="W440">
            <v>-171043.58</v>
          </cell>
          <cell r="X440">
            <v>-223338.23999999999</v>
          </cell>
          <cell r="Y440">
            <v>-130233.48</v>
          </cell>
          <cell r="Z440">
            <v>-190346.84</v>
          </cell>
          <cell r="AA440">
            <v>-703834.01</v>
          </cell>
          <cell r="AB440">
            <v>-296280.46000000002</v>
          </cell>
          <cell r="AC440">
            <v>-362928.71</v>
          </cell>
          <cell r="AD440">
            <v>-102655.97</v>
          </cell>
          <cell r="AE440">
            <v>-122065.81</v>
          </cell>
          <cell r="AF440">
            <v>-290536.36</v>
          </cell>
          <cell r="AG440">
            <v>-148831.98000000001</v>
          </cell>
          <cell r="AH440">
            <v>-214871.25</v>
          </cell>
          <cell r="AI440">
            <v>-277765.40000000002</v>
          </cell>
          <cell r="AJ440">
            <v>-180270.99</v>
          </cell>
          <cell r="AK440">
            <v>-769396.37</v>
          </cell>
          <cell r="AL440">
            <v>-202984.49</v>
          </cell>
          <cell r="AM440">
            <v>-221317.04</v>
          </cell>
          <cell r="AN440">
            <v>-353932.4</v>
          </cell>
          <cell r="AO440">
            <v>-308136.26</v>
          </cell>
          <cell r="AP440">
            <v>-287169.15000000002</v>
          </cell>
          <cell r="AQ440">
            <v>-146968.54999999999</v>
          </cell>
          <cell r="AR440">
            <v>-331963.59000000003</v>
          </cell>
          <cell r="AS440">
            <v>153361.17000000001</v>
          </cell>
          <cell r="AT440">
            <v>-293256.39</v>
          </cell>
          <cell r="AU440">
            <v>-142790.04999999999</v>
          </cell>
          <cell r="AV440">
            <v>-297970.53000000003</v>
          </cell>
          <cell r="AW440">
            <v>-245610.76</v>
          </cell>
          <cell r="AX440">
            <v>-341556.85</v>
          </cell>
          <cell r="AY440">
            <v>-549068.92000000004</v>
          </cell>
          <cell r="AZ440">
            <v>-427265.75</v>
          </cell>
          <cell r="BA440">
            <v>-414555.12</v>
          </cell>
          <cell r="BB440">
            <v>-112602.5</v>
          </cell>
          <cell r="BC440">
            <v>-506278.72</v>
          </cell>
          <cell r="BD440">
            <v>-262049.55</v>
          </cell>
          <cell r="BE440">
            <v>-222660.19</v>
          </cell>
          <cell r="BF440">
            <v>-289543.83</v>
          </cell>
          <cell r="BG440">
            <v>-189620.79</v>
          </cell>
          <cell r="BH440">
            <v>-174472.46</v>
          </cell>
          <cell r="BI440">
            <v>-253677.03</v>
          </cell>
          <cell r="BJ440">
            <v>-242731.81</v>
          </cell>
          <cell r="BK440">
            <v>-417337.17</v>
          </cell>
          <cell r="BL440">
            <v>-256648.59</v>
          </cell>
          <cell r="BM440">
            <v>-285523.38</v>
          </cell>
          <cell r="BN440">
            <v>-461128.74</v>
          </cell>
          <cell r="BO440">
            <v>-417107.02</v>
          </cell>
          <cell r="BP440">
            <v>-323818.81</v>
          </cell>
          <cell r="BQ440">
            <v>-234534.32</v>
          </cell>
          <cell r="BR440">
            <v>-338930.12</v>
          </cell>
          <cell r="BS440">
            <v>-459463.36</v>
          </cell>
          <cell r="BT440">
            <v>-219164.33</v>
          </cell>
          <cell r="BU440">
            <v>-197590.86</v>
          </cell>
          <cell r="BV440">
            <v>-194188.46</v>
          </cell>
          <cell r="BW440">
            <v>-228792.44</v>
          </cell>
          <cell r="BX440">
            <v>-126272.64</v>
          </cell>
          <cell r="BY440">
            <v>-424898.82</v>
          </cell>
          <cell r="BZ440">
            <v>-93899.42</v>
          </cell>
          <cell r="CA440">
            <v>-334447.24</v>
          </cell>
          <cell r="CB440">
            <v>-410336.04</v>
          </cell>
          <cell r="CC440">
            <v>-224341.44</v>
          </cell>
          <cell r="CD440">
            <v>-188439.92</v>
          </cell>
          <cell r="CE440">
            <v>-311341.21000000002</v>
          </cell>
          <cell r="CF440">
            <v>-239230.3</v>
          </cell>
          <cell r="CG440">
            <v>-350793.42</v>
          </cell>
          <cell r="CH440">
            <v>-209032.59</v>
          </cell>
          <cell r="CI440">
            <v>-367048.31</v>
          </cell>
          <cell r="CJ440">
            <v>-334134.96999999997</v>
          </cell>
          <cell r="CK440">
            <v>-387862.25</v>
          </cell>
          <cell r="CL440">
            <v>-275361.32</v>
          </cell>
          <cell r="CM440">
            <v>-331471.51</v>
          </cell>
          <cell r="CN440">
            <v>-390513.08</v>
          </cell>
          <cell r="CO440">
            <v>-271490.58</v>
          </cell>
          <cell r="CP440">
            <v>-274120.75</v>
          </cell>
          <cell r="CQ440">
            <v>-337068.29</v>
          </cell>
          <cell r="CR440">
            <v>-295827.65000000002</v>
          </cell>
          <cell r="CS440">
            <v>-313747.78000000003</v>
          </cell>
          <cell r="CT440">
            <v>-273112.37</v>
          </cell>
          <cell r="CU440">
            <v>-159444.92000000001</v>
          </cell>
          <cell r="CV440">
            <v>-144996.4</v>
          </cell>
          <cell r="CW440">
            <v>-253318.71</v>
          </cell>
          <cell r="CX440">
            <v>-473623.69</v>
          </cell>
          <cell r="CY440">
            <v>-257376.17</v>
          </cell>
          <cell r="CZ440">
            <v>-276005.40999999997</v>
          </cell>
          <cell r="DA440">
            <v>-222974.37</v>
          </cell>
          <cell r="DB440">
            <v>-436612.73</v>
          </cell>
          <cell r="DC440">
            <v>-287987.53999999998</v>
          </cell>
          <cell r="DD440">
            <v>-337555.77</v>
          </cell>
          <cell r="DE440">
            <v>-251499.69</v>
          </cell>
          <cell r="DF440">
            <v>-300104.23</v>
          </cell>
          <cell r="DG440">
            <v>-13128.95</v>
          </cell>
          <cell r="DH440">
            <v>-3255183.66</v>
          </cell>
        </row>
        <row r="441">
          <cell r="A441" t="str">
            <v>4190</v>
          </cell>
          <cell r="D441">
            <v>-33105.9</v>
          </cell>
          <cell r="E441">
            <v>-60160.57</v>
          </cell>
          <cell r="F441">
            <v>-16942.79</v>
          </cell>
          <cell r="G441">
            <v>-13700.03</v>
          </cell>
          <cell r="H441">
            <v>-22433.86</v>
          </cell>
          <cell r="I441">
            <v>-34601</v>
          </cell>
          <cell r="J441">
            <v>-13577.67</v>
          </cell>
          <cell r="K441">
            <v>-15638</v>
          </cell>
          <cell r="L441">
            <v>-15354.58</v>
          </cell>
          <cell r="M441">
            <v>-17160.03</v>
          </cell>
          <cell r="N441">
            <v>-11242.67</v>
          </cell>
          <cell r="O441">
            <v>-30143.55</v>
          </cell>
          <cell r="P441">
            <v>-25287.87</v>
          </cell>
          <cell r="Q441">
            <v>-18621.48</v>
          </cell>
          <cell r="R441">
            <v>-20659.18</v>
          </cell>
          <cell r="S441">
            <v>-25139.11</v>
          </cell>
          <cell r="T441">
            <v>-45226.83</v>
          </cell>
          <cell r="U441">
            <v>-46562.080000000002</v>
          </cell>
          <cell r="V441">
            <v>-13445.99</v>
          </cell>
          <cell r="W441">
            <v>-21691.13</v>
          </cell>
          <cell r="X441">
            <v>-16325.54</v>
          </cell>
          <cell r="Y441">
            <v>-18294.91</v>
          </cell>
          <cell r="Z441">
            <v>-24058.92</v>
          </cell>
          <cell r="AA441">
            <v>-21149.64</v>
          </cell>
          <cell r="AB441">
            <v>-17840.47</v>
          </cell>
          <cell r="AC441">
            <v>-68388.09</v>
          </cell>
          <cell r="AD441">
            <v>-25117.439999999999</v>
          </cell>
          <cell r="AE441">
            <v>-36773.22</v>
          </cell>
          <cell r="AF441">
            <v>-38605.68</v>
          </cell>
          <cell r="AG441">
            <v>-48091.37</v>
          </cell>
          <cell r="AH441">
            <v>-53566.52</v>
          </cell>
          <cell r="AI441">
            <v>-41569.760000000002</v>
          </cell>
          <cell r="AJ441">
            <v>-29858.92</v>
          </cell>
          <cell r="AK441">
            <v>-24046.71</v>
          </cell>
          <cell r="AL441">
            <v>-34613.72</v>
          </cell>
          <cell r="AM441">
            <v>-41797.339999999997</v>
          </cell>
          <cell r="AN441">
            <v>-28006.81</v>
          </cell>
          <cell r="AO441">
            <v>-37984.57</v>
          </cell>
          <cell r="AP441">
            <v>-31193.17</v>
          </cell>
          <cell r="AQ441">
            <v>-30066.84</v>
          </cell>
          <cell r="AR441">
            <v>-9809.65</v>
          </cell>
          <cell r="AS441">
            <v>-20994.17</v>
          </cell>
          <cell r="AT441">
            <v>-1754.21</v>
          </cell>
          <cell r="AU441">
            <v>-5124.66</v>
          </cell>
          <cell r="AV441">
            <v>-1872.7</v>
          </cell>
          <cell r="AW441">
            <v>-2250.67</v>
          </cell>
          <cell r="AX441">
            <v>-653.58000000000004</v>
          </cell>
          <cell r="AY441">
            <v>-722.53</v>
          </cell>
          <cell r="AZ441">
            <v>-5980.14</v>
          </cell>
          <cell r="BA441">
            <v>-683.95</v>
          </cell>
          <cell r="BB441">
            <v>-593.34</v>
          </cell>
          <cell r="BC441">
            <v>-1242.23</v>
          </cell>
          <cell r="BD441">
            <v>-3325.19</v>
          </cell>
          <cell r="BE441">
            <v>-823.95</v>
          </cell>
          <cell r="BF441">
            <v>61.04</v>
          </cell>
          <cell r="BG441">
            <v>-774.42</v>
          </cell>
          <cell r="BH441">
            <v>-869.08</v>
          </cell>
          <cell r="BI441">
            <v>123.42</v>
          </cell>
          <cell r="BJ441">
            <v>-859.74</v>
          </cell>
          <cell r="BK441">
            <v>-1245.73</v>
          </cell>
          <cell r="BL441">
            <v>-1386.14</v>
          </cell>
          <cell r="BM441">
            <v>-1039.8</v>
          </cell>
          <cell r="BN441">
            <v>-926.46</v>
          </cell>
          <cell r="BO441">
            <v>-955.99</v>
          </cell>
          <cell r="BP441">
            <v>-1150.17</v>
          </cell>
          <cell r="BQ441">
            <v>-3577.39</v>
          </cell>
          <cell r="BR441">
            <v>-3981.29</v>
          </cell>
          <cell r="BS441">
            <v>-3921.99</v>
          </cell>
          <cell r="BT441">
            <v>-3048.89</v>
          </cell>
          <cell r="BU441">
            <v>-21.6</v>
          </cell>
          <cell r="BV441">
            <v>-5046.87</v>
          </cell>
          <cell r="BW441">
            <v>-1393.46</v>
          </cell>
          <cell r="BX441">
            <v>-5829.61</v>
          </cell>
          <cell r="BY441">
            <v>-5336.06</v>
          </cell>
          <cell r="BZ441">
            <v>-13624.8</v>
          </cell>
          <cell r="CA441">
            <v>-48706.879999999997</v>
          </cell>
          <cell r="CB441">
            <v>-1187.4000000000001</v>
          </cell>
          <cell r="CC441">
            <v>-991.75</v>
          </cell>
          <cell r="CD441">
            <v>-897.63</v>
          </cell>
          <cell r="CE441">
            <v>-1009.82</v>
          </cell>
          <cell r="CF441">
            <v>-815.56</v>
          </cell>
          <cell r="CG441">
            <v>-749.87</v>
          </cell>
          <cell r="CH441">
            <v>-902.24</v>
          </cell>
          <cell r="CI441">
            <v>-992.81</v>
          </cell>
          <cell r="CJ441">
            <v>-10589.77</v>
          </cell>
          <cell r="CK441">
            <v>-10135.75</v>
          </cell>
          <cell r="CL441">
            <v>-9969.0400000000009</v>
          </cell>
          <cell r="CM441">
            <v>-9850.0300000000007</v>
          </cell>
          <cell r="CN441">
            <v>-14402.36</v>
          </cell>
          <cell r="CO441">
            <v>-5189.09</v>
          </cell>
          <cell r="CP441">
            <v>-3312.69</v>
          </cell>
          <cell r="CQ441">
            <v>-3259.81</v>
          </cell>
          <cell r="CR441">
            <v>-2984.07</v>
          </cell>
          <cell r="CS441">
            <v>-3102.86</v>
          </cell>
          <cell r="CT441">
            <v>-3158.87</v>
          </cell>
          <cell r="CU441">
            <v>-3669.28</v>
          </cell>
          <cell r="CV441">
            <v>-4131.33</v>
          </cell>
          <cell r="CW441">
            <v>-3504.64</v>
          </cell>
          <cell r="CX441">
            <v>-9107.92</v>
          </cell>
          <cell r="CY441">
            <v>-12370.84</v>
          </cell>
          <cell r="CZ441">
            <v>-14123.49</v>
          </cell>
          <cell r="DA441">
            <v>-18412.560000000001</v>
          </cell>
          <cell r="DB441">
            <v>-24298.01</v>
          </cell>
          <cell r="DC441">
            <v>-36020.74</v>
          </cell>
          <cell r="DD441">
            <v>-47039.45</v>
          </cell>
          <cell r="DE441">
            <v>-56763.22</v>
          </cell>
          <cell r="DF441">
            <v>-52515.59</v>
          </cell>
          <cell r="DG441">
            <v>-59599.09</v>
          </cell>
          <cell r="DH441">
            <v>-337886.88</v>
          </cell>
        </row>
        <row r="442">
          <cell r="A442" t="str">
            <v>4191</v>
          </cell>
          <cell r="BR442">
            <v>0</v>
          </cell>
          <cell r="BS442">
            <v>0</v>
          </cell>
          <cell r="BT442">
            <v>-88143.23</v>
          </cell>
          <cell r="BU442">
            <v>-205245.14</v>
          </cell>
          <cell r="BV442">
            <v>-78293.710000000006</v>
          </cell>
          <cell r="BW442">
            <v>-98731.87</v>
          </cell>
          <cell r="BX442">
            <v>-128109.59</v>
          </cell>
          <cell r="BY442">
            <v>-160068.20000000001</v>
          </cell>
          <cell r="BZ442">
            <v>-187039.09</v>
          </cell>
          <cell r="CA442">
            <v>-212810.96</v>
          </cell>
          <cell r="CB442">
            <v>-258036.43</v>
          </cell>
          <cell r="CC442">
            <v>-295038.21000000002</v>
          </cell>
          <cell r="CD442">
            <v>-317432.21000000002</v>
          </cell>
          <cell r="CE442">
            <v>-354208</v>
          </cell>
          <cell r="CF442">
            <v>-396170.73</v>
          </cell>
          <cell r="CG442">
            <v>-313400.96999999997</v>
          </cell>
          <cell r="CH442">
            <v>-231389.87</v>
          </cell>
          <cell r="CI442">
            <v>-267899.33</v>
          </cell>
          <cell r="CJ442">
            <v>-304757.78999999998</v>
          </cell>
          <cell r="CK442">
            <v>-370593.85</v>
          </cell>
          <cell r="CL442">
            <v>-389947.17</v>
          </cell>
          <cell r="CM442">
            <v>-326242.06</v>
          </cell>
          <cell r="CN442">
            <v>-221915.58</v>
          </cell>
          <cell r="CO442">
            <v>-230325.17</v>
          </cell>
          <cell r="CP442">
            <v>-249458.15</v>
          </cell>
          <cell r="CQ442">
            <v>-280763.06</v>
          </cell>
          <cell r="CR442">
            <v>-307772.68</v>
          </cell>
          <cell r="CS442">
            <v>-330307.34000000003</v>
          </cell>
          <cell r="CT442">
            <v>-118962.32</v>
          </cell>
          <cell r="CU442">
            <v>-163717.22</v>
          </cell>
          <cell r="CV442">
            <v>-180627.20000000001</v>
          </cell>
          <cell r="CW442">
            <v>-197146.68</v>
          </cell>
          <cell r="CX442">
            <v>-214283.86</v>
          </cell>
          <cell r="CY442">
            <v>-235931.8</v>
          </cell>
          <cell r="CZ442">
            <v>-260884.35</v>
          </cell>
          <cell r="DA442">
            <v>-291434.89</v>
          </cell>
          <cell r="DB442">
            <v>-325385.08</v>
          </cell>
          <cell r="DC442">
            <v>-349541.75</v>
          </cell>
          <cell r="DD442">
            <v>-370307.86</v>
          </cell>
          <cell r="DE442">
            <v>-167646.16</v>
          </cell>
          <cell r="DF442">
            <v>-245397.82</v>
          </cell>
          <cell r="DG442">
            <v>-265768.27</v>
          </cell>
          <cell r="DH442">
            <v>-3104355.72</v>
          </cell>
        </row>
        <row r="443">
          <cell r="A443" t="str">
            <v>4210</v>
          </cell>
          <cell r="D443">
            <v>-150</v>
          </cell>
          <cell r="E443">
            <v>-6994.39</v>
          </cell>
          <cell r="F443">
            <v>-60</v>
          </cell>
          <cell r="G443">
            <v>-168</v>
          </cell>
          <cell r="H443">
            <v>-158</v>
          </cell>
          <cell r="I443">
            <v>-120</v>
          </cell>
          <cell r="J443">
            <v>-142</v>
          </cell>
          <cell r="K443">
            <v>-138</v>
          </cell>
          <cell r="L443">
            <v>-136</v>
          </cell>
          <cell r="M443">
            <v>215.02</v>
          </cell>
          <cell r="N443">
            <v>-186</v>
          </cell>
          <cell r="O443">
            <v>-226</v>
          </cell>
          <cell r="P443">
            <v>-257</v>
          </cell>
          <cell r="Q443">
            <v>-244</v>
          </cell>
          <cell r="R443">
            <v>-191</v>
          </cell>
          <cell r="S443">
            <v>-177</v>
          </cell>
          <cell r="T443">
            <v>-232</v>
          </cell>
          <cell r="U443">
            <v>-203</v>
          </cell>
          <cell r="V443">
            <v>-200</v>
          </cell>
          <cell r="W443">
            <v>-223</v>
          </cell>
          <cell r="X443">
            <v>-246</v>
          </cell>
          <cell r="Y443">
            <v>-353</v>
          </cell>
          <cell r="Z443">
            <v>-672</v>
          </cell>
          <cell r="AA443">
            <v>-689484.31</v>
          </cell>
          <cell r="AB443">
            <v>-2208</v>
          </cell>
          <cell r="AC443">
            <v>-1354</v>
          </cell>
          <cell r="AD443">
            <v>-920</v>
          </cell>
          <cell r="AE443">
            <v>-839</v>
          </cell>
          <cell r="AF443">
            <v>-735</v>
          </cell>
          <cell r="AG443">
            <v>-784</v>
          </cell>
          <cell r="AH443">
            <v>-861</v>
          </cell>
          <cell r="AI443">
            <v>-215412</v>
          </cell>
          <cell r="AJ443">
            <v>-939</v>
          </cell>
          <cell r="AK443">
            <v>-733292.85</v>
          </cell>
          <cell r="AL443">
            <v>-1090</v>
          </cell>
          <cell r="AM443">
            <v>-1346.9</v>
          </cell>
          <cell r="AN443">
            <v>-1663</v>
          </cell>
          <cell r="AO443">
            <v>-1575</v>
          </cell>
          <cell r="AP443">
            <v>-1792.1</v>
          </cell>
          <cell r="AQ443">
            <v>-202</v>
          </cell>
          <cell r="AR443">
            <v>-3836</v>
          </cell>
          <cell r="AS443">
            <v>-2294</v>
          </cell>
          <cell r="AT443">
            <v>-2480</v>
          </cell>
          <cell r="AU443">
            <v>-2612</v>
          </cell>
          <cell r="AV443">
            <v>-2668</v>
          </cell>
          <cell r="AW443">
            <v>-4283.83</v>
          </cell>
          <cell r="AX443">
            <v>-8063.17</v>
          </cell>
          <cell r="AY443">
            <v>-9906</v>
          </cell>
          <cell r="AZ443">
            <v>-14551.86</v>
          </cell>
          <cell r="BA443">
            <v>-6591.1</v>
          </cell>
          <cell r="BB443">
            <v>-4896.34</v>
          </cell>
          <cell r="BC443">
            <v>31623.62</v>
          </cell>
          <cell r="BD443">
            <v>-7936.51</v>
          </cell>
          <cell r="BE443">
            <v>-9480.34</v>
          </cell>
          <cell r="BF443">
            <v>-10662.88</v>
          </cell>
          <cell r="BG443">
            <v>-10848.93</v>
          </cell>
          <cell r="BH443">
            <v>-18177.66</v>
          </cell>
          <cell r="BI443">
            <v>10056.18</v>
          </cell>
          <cell r="BJ443">
            <v>-15054.92</v>
          </cell>
          <cell r="BK443">
            <v>-2072.3200000000002</v>
          </cell>
          <cell r="BL443">
            <v>-24884.45</v>
          </cell>
          <cell r="BM443">
            <v>-12638.17</v>
          </cell>
          <cell r="BN443">
            <v>-11641.8</v>
          </cell>
          <cell r="BO443">
            <v>-13221.11</v>
          </cell>
          <cell r="BP443">
            <v>-8857.3700000000008</v>
          </cell>
          <cell r="BQ443">
            <v>32.21</v>
          </cell>
          <cell r="BR443">
            <v>-17147.310000000001</v>
          </cell>
          <cell r="BS443">
            <v>-7165.61</v>
          </cell>
          <cell r="BT443">
            <v>-11563.54</v>
          </cell>
          <cell r="BU443">
            <v>-9042.99</v>
          </cell>
          <cell r="BV443">
            <v>-9013.42</v>
          </cell>
          <cell r="BW443">
            <v>-8529.58</v>
          </cell>
          <cell r="BX443">
            <v>-4975.74</v>
          </cell>
          <cell r="BY443">
            <v>-4999.54</v>
          </cell>
          <cell r="BZ443">
            <v>-8703.32</v>
          </cell>
          <cell r="CA443">
            <v>4456.03</v>
          </cell>
          <cell r="CB443">
            <v>-44</v>
          </cell>
          <cell r="CC443">
            <v>-1660.18</v>
          </cell>
          <cell r="CD443">
            <v>384.92</v>
          </cell>
          <cell r="CE443">
            <v>-13641.89</v>
          </cell>
          <cell r="CF443">
            <v>-852.55</v>
          </cell>
          <cell r="CG443">
            <v>-2386.31</v>
          </cell>
          <cell r="CH443">
            <v>1094.53</v>
          </cell>
          <cell r="CI443">
            <v>-395.97</v>
          </cell>
          <cell r="CJ443">
            <v>-999.71</v>
          </cell>
          <cell r="CK443">
            <v>805.71</v>
          </cell>
          <cell r="CL443">
            <v>-64.64</v>
          </cell>
          <cell r="CM443">
            <v>-4013.08</v>
          </cell>
          <cell r="CN443">
            <v>-7</v>
          </cell>
          <cell r="CO443">
            <v>-2693.33</v>
          </cell>
          <cell r="CP443">
            <v>2444.14</v>
          </cell>
          <cell r="CQ443">
            <v>-113.74</v>
          </cell>
          <cell r="CR443">
            <v>-1434.45</v>
          </cell>
          <cell r="CS443">
            <v>1436.19</v>
          </cell>
          <cell r="CT443">
            <v>-3539.36</v>
          </cell>
          <cell r="CU443">
            <v>1551.62</v>
          </cell>
          <cell r="CV443">
            <v>-2608.79</v>
          </cell>
          <cell r="CW443">
            <v>948.79</v>
          </cell>
          <cell r="CX443">
            <v>-731</v>
          </cell>
          <cell r="CY443">
            <v>-2489.8200000000002</v>
          </cell>
          <cell r="CZ443">
            <v>3334.34</v>
          </cell>
          <cell r="DA443">
            <v>-2849.23</v>
          </cell>
          <cell r="DB443">
            <v>1815.71</v>
          </cell>
          <cell r="DC443">
            <v>-2606.79</v>
          </cell>
          <cell r="DD443">
            <v>-11291.19</v>
          </cell>
          <cell r="DE443">
            <v>4202.33</v>
          </cell>
          <cell r="DF443">
            <v>-912.26</v>
          </cell>
          <cell r="DG443">
            <v>2409.1799999999998</v>
          </cell>
          <cell r="DH443">
            <v>-10778.73</v>
          </cell>
        </row>
        <row r="444">
          <cell r="A444" t="str">
            <v>4211</v>
          </cell>
          <cell r="AH444">
            <v>-178382.13</v>
          </cell>
          <cell r="AI444">
            <v>-178382.13</v>
          </cell>
          <cell r="AJ444">
            <v>-178382.13</v>
          </cell>
          <cell r="AK444">
            <v>-178382.13</v>
          </cell>
          <cell r="AL444">
            <v>-178382.13</v>
          </cell>
          <cell r="AM444">
            <v>-178382.13</v>
          </cell>
          <cell r="AN444">
            <v>-178382.13</v>
          </cell>
          <cell r="AO444">
            <v>-178382.13</v>
          </cell>
          <cell r="AP444">
            <v>-178382.13</v>
          </cell>
          <cell r="AQ444">
            <v>-178382.13</v>
          </cell>
          <cell r="AR444">
            <v>-178382.13</v>
          </cell>
          <cell r="AS444">
            <v>-178382.13</v>
          </cell>
          <cell r="AT444">
            <v>-178382.13</v>
          </cell>
          <cell r="AU444">
            <v>-178382.13</v>
          </cell>
          <cell r="AV444">
            <v>-178382.13</v>
          </cell>
          <cell r="AW444">
            <v>-178382.13</v>
          </cell>
          <cell r="AX444">
            <v>-178382.13</v>
          </cell>
          <cell r="AY444">
            <v>-178382.13</v>
          </cell>
          <cell r="AZ444">
            <v>-178382.13</v>
          </cell>
          <cell r="BA444">
            <v>-178382.13</v>
          </cell>
          <cell r="BB444">
            <v>-178382.13</v>
          </cell>
          <cell r="BC444">
            <v>-178382.13</v>
          </cell>
          <cell r="BD444">
            <v>-178382.13</v>
          </cell>
          <cell r="BE444">
            <v>-178382.13</v>
          </cell>
          <cell r="BF444">
            <v>-178382.13</v>
          </cell>
          <cell r="BG444">
            <v>-178382.13</v>
          </cell>
          <cell r="BH444">
            <v>-178382.13</v>
          </cell>
          <cell r="BI444">
            <v>-178382.13</v>
          </cell>
          <cell r="BJ444">
            <v>-178382.13</v>
          </cell>
          <cell r="BK444">
            <v>-178382.13</v>
          </cell>
          <cell r="BL444">
            <v>-178382.13</v>
          </cell>
          <cell r="BM444">
            <v>-178382.13</v>
          </cell>
          <cell r="BN444">
            <v>-178382.13</v>
          </cell>
          <cell r="BO444">
            <v>-178382.13</v>
          </cell>
          <cell r="BP444">
            <v>-178382.13</v>
          </cell>
          <cell r="BQ444">
            <v>-178382.13</v>
          </cell>
          <cell r="BR444">
            <v>-178382.13</v>
          </cell>
          <cell r="BS444">
            <v>-178382.13</v>
          </cell>
          <cell r="BT444">
            <v>-178382.13</v>
          </cell>
          <cell r="BU444">
            <v>-178382.13</v>
          </cell>
          <cell r="BV444">
            <v>-178382.13</v>
          </cell>
          <cell r="BW444">
            <v>-178382.13</v>
          </cell>
          <cell r="BX444">
            <v>-178382.13</v>
          </cell>
          <cell r="BY444">
            <v>-178382.13</v>
          </cell>
          <cell r="BZ444">
            <v>-178382.13</v>
          </cell>
          <cell r="CA444">
            <v>-178382.13</v>
          </cell>
          <cell r="CB444">
            <v>-134554.43</v>
          </cell>
          <cell r="CC444">
            <v>-156002.03</v>
          </cell>
          <cell r="CD444">
            <v>-21447.55</v>
          </cell>
          <cell r="CE444">
            <v>0</v>
          </cell>
          <cell r="CF444">
            <v>0</v>
          </cell>
          <cell r="CG444">
            <v>0</v>
          </cell>
          <cell r="CH444">
            <v>0</v>
          </cell>
          <cell r="CI444">
            <v>0</v>
          </cell>
          <cell r="CJ444">
            <v>0</v>
          </cell>
          <cell r="CK444">
            <v>0</v>
          </cell>
          <cell r="CL444">
            <v>0</v>
          </cell>
          <cell r="CM444">
            <v>0</v>
          </cell>
          <cell r="CN444">
            <v>0</v>
          </cell>
          <cell r="CO444">
            <v>0</v>
          </cell>
          <cell r="CP444">
            <v>0</v>
          </cell>
          <cell r="CQ444">
            <v>0</v>
          </cell>
          <cell r="CR444">
            <v>0</v>
          </cell>
          <cell r="CS444">
            <v>0</v>
          </cell>
          <cell r="CT444">
            <v>0</v>
          </cell>
          <cell r="CU444">
            <v>0</v>
          </cell>
          <cell r="CV444">
            <v>0</v>
          </cell>
          <cell r="CW444">
            <v>0</v>
          </cell>
          <cell r="CX444">
            <v>0</v>
          </cell>
          <cell r="CY444">
            <v>-13450.42</v>
          </cell>
          <cell r="CZ444">
            <v>-13450.42</v>
          </cell>
          <cell r="DA444">
            <v>-13450.42</v>
          </cell>
          <cell r="DB444">
            <v>-13450.42</v>
          </cell>
          <cell r="DC444">
            <v>-46401.599999999999</v>
          </cell>
          <cell r="DD444">
            <v>-46401.599999999999</v>
          </cell>
          <cell r="DE444">
            <v>-46401.599999999999</v>
          </cell>
          <cell r="DF444">
            <v>-46401.599999999999</v>
          </cell>
          <cell r="DG444">
            <v>-46401.599999999999</v>
          </cell>
          <cell r="DH444">
            <v>-285809.68</v>
          </cell>
        </row>
        <row r="445">
          <cell r="A445" t="str">
            <v>4212</v>
          </cell>
          <cell r="BX445">
            <v>0</v>
          </cell>
          <cell r="BY445">
            <v>0</v>
          </cell>
          <cell r="BZ445">
            <v>5165.29</v>
          </cell>
          <cell r="CA445">
            <v>5165.29</v>
          </cell>
          <cell r="CB445">
            <v>5165.29</v>
          </cell>
          <cell r="CC445">
            <v>5165.29</v>
          </cell>
          <cell r="CD445">
            <v>5165.29</v>
          </cell>
          <cell r="CE445">
            <v>5165.29</v>
          </cell>
          <cell r="CF445">
            <v>5165.29</v>
          </cell>
          <cell r="CG445">
            <v>5165.29</v>
          </cell>
          <cell r="CH445">
            <v>5165.29</v>
          </cell>
          <cell r="CI445">
            <v>5165.29</v>
          </cell>
          <cell r="CJ445">
            <v>5165.29</v>
          </cell>
          <cell r="CK445">
            <v>5165.29</v>
          </cell>
          <cell r="CL445">
            <v>5165.29</v>
          </cell>
          <cell r="CM445">
            <v>5165.29</v>
          </cell>
          <cell r="CN445">
            <v>5165.29</v>
          </cell>
          <cell r="CO445">
            <v>5165.29</v>
          </cell>
          <cell r="CP445">
            <v>5165.29</v>
          </cell>
          <cell r="CQ445">
            <v>5165.29</v>
          </cell>
          <cell r="CR445">
            <v>5165.29</v>
          </cell>
          <cell r="CS445">
            <v>5165.29</v>
          </cell>
          <cell r="CT445">
            <v>5165.29</v>
          </cell>
          <cell r="CU445">
            <v>5165.29</v>
          </cell>
          <cell r="CV445">
            <v>5165.29</v>
          </cell>
          <cell r="CW445">
            <v>5165.29</v>
          </cell>
          <cell r="CX445">
            <v>5165.29</v>
          </cell>
          <cell r="CY445">
            <v>5165.29</v>
          </cell>
          <cell r="CZ445">
            <v>5165.29</v>
          </cell>
          <cell r="DA445">
            <v>5165.29</v>
          </cell>
          <cell r="DB445">
            <v>5165.29</v>
          </cell>
          <cell r="DC445">
            <v>5165.29</v>
          </cell>
          <cell r="DD445">
            <v>5165.29</v>
          </cell>
          <cell r="DE445">
            <v>5165.29</v>
          </cell>
          <cell r="DF445">
            <v>5165.29</v>
          </cell>
          <cell r="DG445">
            <v>5165.29</v>
          </cell>
          <cell r="DH445">
            <v>61983.48</v>
          </cell>
        </row>
        <row r="446">
          <cell r="A446" t="str">
            <v>4261</v>
          </cell>
          <cell r="D446">
            <v>9592.44</v>
          </cell>
          <cell r="E446">
            <v>13624.55</v>
          </cell>
          <cell r="F446">
            <v>38973.22</v>
          </cell>
          <cell r="G446">
            <v>5029.49</v>
          </cell>
          <cell r="H446">
            <v>31197.18</v>
          </cell>
          <cell r="I446">
            <v>17101.439999999999</v>
          </cell>
          <cell r="J446">
            <v>18584.96</v>
          </cell>
          <cell r="K446">
            <v>11886.14</v>
          </cell>
          <cell r="L446">
            <v>4447.22</v>
          </cell>
          <cell r="M446">
            <v>4817.4799999999996</v>
          </cell>
          <cell r="N446">
            <v>11142.36</v>
          </cell>
          <cell r="O446">
            <v>44282.16</v>
          </cell>
          <cell r="P446">
            <v>15506.55</v>
          </cell>
          <cell r="Q446">
            <v>13930.6</v>
          </cell>
          <cell r="R446">
            <v>49664.43</v>
          </cell>
          <cell r="S446">
            <v>46999.16</v>
          </cell>
          <cell r="T446">
            <v>13878.49</v>
          </cell>
          <cell r="U446">
            <v>16301.05</v>
          </cell>
          <cell r="V446">
            <v>27966.02</v>
          </cell>
          <cell r="W446">
            <v>12631.5</v>
          </cell>
          <cell r="X446">
            <v>16679.37</v>
          </cell>
          <cell r="Y446">
            <v>18539.5</v>
          </cell>
          <cell r="Z446">
            <v>4985.3599999999997</v>
          </cell>
          <cell r="AA446">
            <v>37666.269999999997</v>
          </cell>
          <cell r="AB446">
            <v>22213.35</v>
          </cell>
          <cell r="AC446">
            <v>12189.45</v>
          </cell>
          <cell r="AD446">
            <v>34690.93</v>
          </cell>
          <cell r="AE446">
            <v>20261.73</v>
          </cell>
          <cell r="AF446">
            <v>19974.55</v>
          </cell>
          <cell r="AG446">
            <v>73602.73</v>
          </cell>
          <cell r="AH446">
            <v>13181.29</v>
          </cell>
          <cell r="AI446">
            <v>17352.16</v>
          </cell>
          <cell r="AJ446">
            <v>27273.73</v>
          </cell>
          <cell r="AK446">
            <v>27983.200000000001</v>
          </cell>
          <cell r="AL446">
            <v>14492.4</v>
          </cell>
          <cell r="AM446">
            <v>59061.77</v>
          </cell>
          <cell r="AN446">
            <v>-17504.79</v>
          </cell>
          <cell r="AO446">
            <v>20036.939999999999</v>
          </cell>
          <cell r="AP446">
            <v>7494</v>
          </cell>
          <cell r="AQ446">
            <v>24842.06</v>
          </cell>
          <cell r="AR446">
            <v>15256.43</v>
          </cell>
          <cell r="AS446">
            <v>13760.13</v>
          </cell>
          <cell r="AT446">
            <v>31162.720000000001</v>
          </cell>
          <cell r="AU446">
            <v>24941.200000000001</v>
          </cell>
          <cell r="AV446">
            <v>36071.5</v>
          </cell>
          <cell r="AW446">
            <v>18645.54</v>
          </cell>
          <cell r="AX446">
            <v>18830.18</v>
          </cell>
          <cell r="AY446">
            <v>32557.69</v>
          </cell>
          <cell r="AZ446">
            <v>12466.08</v>
          </cell>
          <cell r="BA446">
            <v>15071.08</v>
          </cell>
          <cell r="BB446">
            <v>20708.099999999999</v>
          </cell>
          <cell r="BC446">
            <v>45994.63</v>
          </cell>
          <cell r="BD446">
            <v>30451.5</v>
          </cell>
          <cell r="BE446">
            <v>13366.28</v>
          </cell>
          <cell r="BF446">
            <v>7388.87</v>
          </cell>
          <cell r="BG446">
            <v>27186.62</v>
          </cell>
          <cell r="BH446">
            <v>14967.46</v>
          </cell>
          <cell r="BI446">
            <v>64456.99</v>
          </cell>
          <cell r="BJ446">
            <v>38901.300000000003</v>
          </cell>
          <cell r="BK446">
            <v>31195.23</v>
          </cell>
          <cell r="BL446">
            <v>34369.599999999999</v>
          </cell>
          <cell r="BM446">
            <v>19560</v>
          </cell>
          <cell r="BN446">
            <v>24488</v>
          </cell>
          <cell r="BO446">
            <v>18203.97</v>
          </cell>
          <cell r="BP446">
            <v>32038.52</v>
          </cell>
          <cell r="BQ446">
            <v>17468.5</v>
          </cell>
          <cell r="BR446">
            <v>10044.66</v>
          </cell>
          <cell r="BS446">
            <v>25738</v>
          </cell>
          <cell r="BT446">
            <v>71510.52</v>
          </cell>
          <cell r="BU446">
            <v>12717.33</v>
          </cell>
          <cell r="BV446">
            <v>38277.9</v>
          </cell>
          <cell r="BW446">
            <v>62477.48</v>
          </cell>
          <cell r="BX446">
            <v>8839</v>
          </cell>
          <cell r="BY446">
            <v>74718.399999999994</v>
          </cell>
          <cell r="BZ446">
            <v>40720.53</v>
          </cell>
          <cell r="CA446">
            <v>104506.58</v>
          </cell>
          <cell r="CB446">
            <v>30345.29</v>
          </cell>
          <cell r="CC446">
            <v>56278.77</v>
          </cell>
          <cell r="CD446">
            <v>1499</v>
          </cell>
          <cell r="CE446">
            <v>9139.7800000000007</v>
          </cell>
          <cell r="CF446">
            <v>4147.07</v>
          </cell>
          <cell r="CG446">
            <v>30031.98</v>
          </cell>
          <cell r="CH446">
            <v>17013.7</v>
          </cell>
          <cell r="CI446">
            <v>70637.98</v>
          </cell>
          <cell r="CJ446">
            <v>2361.58</v>
          </cell>
          <cell r="CK446">
            <v>44113.37</v>
          </cell>
          <cell r="CL446">
            <v>21018.38</v>
          </cell>
          <cell r="CM446">
            <v>19632.919999999998</v>
          </cell>
          <cell r="CN446">
            <v>9424.93</v>
          </cell>
          <cell r="CO446">
            <v>7376.06</v>
          </cell>
          <cell r="CP446">
            <v>5775.25</v>
          </cell>
          <cell r="CQ446">
            <v>27888.79</v>
          </cell>
          <cell r="CR446">
            <v>35987.75</v>
          </cell>
          <cell r="CS446">
            <v>12118.86</v>
          </cell>
          <cell r="CT446">
            <v>17192.990000000002</v>
          </cell>
          <cell r="CU446">
            <v>82041.02</v>
          </cell>
          <cell r="CV446">
            <v>53547.11</v>
          </cell>
          <cell r="CW446">
            <v>7300</v>
          </cell>
          <cell r="CX446">
            <v>22324.06</v>
          </cell>
          <cell r="CY446">
            <v>55793.1</v>
          </cell>
          <cell r="CZ446">
            <v>38278.19</v>
          </cell>
          <cell r="DA446">
            <v>24783.67</v>
          </cell>
          <cell r="DB446">
            <v>22583.18</v>
          </cell>
          <cell r="DC446">
            <v>1288.6400000000001</v>
          </cell>
          <cell r="DD446">
            <v>26009.99</v>
          </cell>
          <cell r="DE446">
            <v>64231.81</v>
          </cell>
          <cell r="DF446">
            <v>54034.71</v>
          </cell>
          <cell r="DG446">
            <v>46282.45</v>
          </cell>
          <cell r="DH446">
            <v>416456.91000000003</v>
          </cell>
        </row>
        <row r="447">
          <cell r="A447" t="str">
            <v>4263</v>
          </cell>
          <cell r="AB447">
            <v>0</v>
          </cell>
          <cell r="AC447">
            <v>0</v>
          </cell>
          <cell r="AD447">
            <v>1000000</v>
          </cell>
          <cell r="AE447">
            <v>0</v>
          </cell>
          <cell r="AF447">
            <v>0</v>
          </cell>
          <cell r="AG447">
            <v>0</v>
          </cell>
          <cell r="AH447">
            <v>0</v>
          </cell>
          <cell r="AI447">
            <v>0</v>
          </cell>
          <cell r="AJ447">
            <v>0</v>
          </cell>
          <cell r="AK447">
            <v>0</v>
          </cell>
          <cell r="AL447">
            <v>0</v>
          </cell>
          <cell r="AM447">
            <v>0</v>
          </cell>
          <cell r="AN447">
            <v>0</v>
          </cell>
          <cell r="AO447">
            <v>0</v>
          </cell>
          <cell r="AP447">
            <v>0</v>
          </cell>
          <cell r="AQ447">
            <v>973.26</v>
          </cell>
          <cell r="AR447">
            <v>0</v>
          </cell>
          <cell r="AS447">
            <v>49.71</v>
          </cell>
          <cell r="AT447">
            <v>0</v>
          </cell>
          <cell r="AU447">
            <v>0</v>
          </cell>
          <cell r="AV447">
            <v>0</v>
          </cell>
          <cell r="AW447">
            <v>0</v>
          </cell>
          <cell r="AX447">
            <v>0</v>
          </cell>
          <cell r="AY447">
            <v>0</v>
          </cell>
          <cell r="AZ447">
            <v>0</v>
          </cell>
          <cell r="BA447">
            <v>692.94</v>
          </cell>
          <cell r="BB447">
            <v>0</v>
          </cell>
          <cell r="BC447">
            <v>0</v>
          </cell>
          <cell r="BD447">
            <v>0</v>
          </cell>
          <cell r="BE447">
            <v>0</v>
          </cell>
          <cell r="BF447">
            <v>0</v>
          </cell>
          <cell r="BG447">
            <v>0</v>
          </cell>
          <cell r="BH447">
            <v>0</v>
          </cell>
          <cell r="BI447">
            <v>500</v>
          </cell>
          <cell r="BJ447">
            <v>-500</v>
          </cell>
          <cell r="BK447">
            <v>0</v>
          </cell>
          <cell r="BL447">
            <v>0</v>
          </cell>
          <cell r="BM447">
            <v>0</v>
          </cell>
          <cell r="BN447">
            <v>0</v>
          </cell>
          <cell r="BO447">
            <v>0</v>
          </cell>
          <cell r="BP447">
            <v>0</v>
          </cell>
          <cell r="BQ447">
            <v>0</v>
          </cell>
          <cell r="BR447">
            <v>0</v>
          </cell>
          <cell r="BS447">
            <v>0</v>
          </cell>
          <cell r="BT447">
            <v>0</v>
          </cell>
          <cell r="BU447">
            <v>555.34</v>
          </cell>
          <cell r="BV447">
            <v>-441.91</v>
          </cell>
          <cell r="BW447">
            <v>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cell r="CQ447">
            <v>0</v>
          </cell>
          <cell r="CR447">
            <v>0</v>
          </cell>
          <cell r="CS447">
            <v>0</v>
          </cell>
          <cell r="CT447">
            <v>0</v>
          </cell>
          <cell r="CU447">
            <v>0</v>
          </cell>
          <cell r="CV447">
            <v>0</v>
          </cell>
          <cell r="CW447">
            <v>0</v>
          </cell>
          <cell r="CX447">
            <v>0</v>
          </cell>
          <cell r="CY447">
            <v>0</v>
          </cell>
          <cell r="CZ447">
            <v>0</v>
          </cell>
          <cell r="DA447">
            <v>0</v>
          </cell>
          <cell r="DB447">
            <v>0</v>
          </cell>
          <cell r="DC447">
            <v>0</v>
          </cell>
          <cell r="DD447">
            <v>0</v>
          </cell>
          <cell r="DE447">
            <v>0</v>
          </cell>
          <cell r="DF447">
            <v>0</v>
          </cell>
          <cell r="DG447">
            <v>0</v>
          </cell>
          <cell r="DH447">
            <v>0</v>
          </cell>
        </row>
        <row r="448">
          <cell r="A448" t="str">
            <v>4264</v>
          </cell>
          <cell r="D448">
            <v>5336.66</v>
          </cell>
          <cell r="E448">
            <v>19982.07</v>
          </cell>
          <cell r="F448">
            <v>12992.5</v>
          </cell>
          <cell r="G448">
            <v>4646.66</v>
          </cell>
          <cell r="H448">
            <v>4166.66</v>
          </cell>
          <cell r="I448">
            <v>4166.66</v>
          </cell>
          <cell r="J448">
            <v>39806.230000000003</v>
          </cell>
          <cell r="K448">
            <v>4809.25</v>
          </cell>
          <cell r="L448">
            <v>4746.66</v>
          </cell>
          <cell r="M448">
            <v>4460.8599999999997</v>
          </cell>
          <cell r="N448">
            <v>4359.66</v>
          </cell>
          <cell r="O448">
            <v>8456.35</v>
          </cell>
          <cell r="P448">
            <v>4726.66</v>
          </cell>
          <cell r="Q448">
            <v>22120.65</v>
          </cell>
          <cell r="R448">
            <v>4166.66</v>
          </cell>
          <cell r="S448">
            <v>25536.68</v>
          </cell>
          <cell r="T448">
            <v>9805.07</v>
          </cell>
          <cell r="U448">
            <v>9698.48</v>
          </cell>
          <cell r="V448">
            <v>12232.5</v>
          </cell>
          <cell r="W448">
            <v>8333.32</v>
          </cell>
          <cell r="X448">
            <v>43370.65</v>
          </cell>
          <cell r="Y448">
            <v>8565.7900000000009</v>
          </cell>
          <cell r="Z448">
            <v>12692.73</v>
          </cell>
          <cell r="AA448">
            <v>42216.52</v>
          </cell>
          <cell r="AB448">
            <v>9583.32</v>
          </cell>
          <cell r="AC448">
            <v>14605.15</v>
          </cell>
          <cell r="AD448">
            <v>14969.82</v>
          </cell>
          <cell r="AE448">
            <v>10890.15</v>
          </cell>
          <cell r="AF448">
            <v>9833.32</v>
          </cell>
          <cell r="AG448">
            <v>74390.460000000006</v>
          </cell>
          <cell r="AH448">
            <v>11664.35</v>
          </cell>
          <cell r="AI448">
            <v>8764.39</v>
          </cell>
          <cell r="AJ448">
            <v>9668.32</v>
          </cell>
          <cell r="AK448">
            <v>10140.15</v>
          </cell>
          <cell r="AL448">
            <v>9718.32</v>
          </cell>
          <cell r="AM448">
            <v>10833.32</v>
          </cell>
          <cell r="AN448">
            <v>4166.66</v>
          </cell>
          <cell r="AO448">
            <v>-402.21</v>
          </cell>
          <cell r="AP448">
            <v>636.51</v>
          </cell>
          <cell r="AQ448">
            <v>3870.25</v>
          </cell>
          <cell r="AR448">
            <v>0</v>
          </cell>
          <cell r="AS448">
            <v>710</v>
          </cell>
          <cell r="AT448">
            <v>22100.25</v>
          </cell>
          <cell r="AU448">
            <v>0</v>
          </cell>
          <cell r="AV448">
            <v>4251.66</v>
          </cell>
          <cell r="AW448">
            <v>3570.25</v>
          </cell>
          <cell r="AX448">
            <v>0</v>
          </cell>
          <cell r="AY448">
            <v>1234</v>
          </cell>
          <cell r="AZ448">
            <v>1210</v>
          </cell>
          <cell r="BA448">
            <v>62950.93</v>
          </cell>
          <cell r="BB448">
            <v>0</v>
          </cell>
          <cell r="BC448">
            <v>10000</v>
          </cell>
          <cell r="BD448">
            <v>1909.13</v>
          </cell>
          <cell r="BE448">
            <v>0</v>
          </cell>
          <cell r="BF448">
            <v>3027.66</v>
          </cell>
          <cell r="BG448">
            <v>115</v>
          </cell>
          <cell r="BH448">
            <v>0</v>
          </cell>
          <cell r="BI448">
            <v>6504.13</v>
          </cell>
          <cell r="BJ448">
            <v>26000</v>
          </cell>
          <cell r="BK448">
            <v>2840</v>
          </cell>
          <cell r="BL448">
            <v>4250</v>
          </cell>
          <cell r="BM448">
            <v>4846.24</v>
          </cell>
          <cell r="BN448">
            <v>60493.8</v>
          </cell>
          <cell r="BO448">
            <v>11632.64</v>
          </cell>
          <cell r="BP448">
            <v>600</v>
          </cell>
          <cell r="BQ448">
            <v>675</v>
          </cell>
          <cell r="BR448">
            <v>4255.1400000000003</v>
          </cell>
          <cell r="BS448">
            <v>-530</v>
          </cell>
          <cell r="BT448">
            <v>4417.45</v>
          </cell>
          <cell r="BU448">
            <v>2012.64</v>
          </cell>
          <cell r="BV448">
            <v>1042.79</v>
          </cell>
          <cell r="BW448">
            <v>380</v>
          </cell>
          <cell r="BX448">
            <v>500</v>
          </cell>
          <cell r="BY448">
            <v>38414.83</v>
          </cell>
          <cell r="BZ448">
            <v>2000.6</v>
          </cell>
          <cell r="CA448">
            <v>3631.03</v>
          </cell>
          <cell r="CB448">
            <v>1650</v>
          </cell>
          <cell r="CC448">
            <v>0</v>
          </cell>
          <cell r="CD448">
            <v>4486.03</v>
          </cell>
          <cell r="CE448">
            <v>10125</v>
          </cell>
          <cell r="CF448">
            <v>0</v>
          </cell>
          <cell r="CG448">
            <v>8911.0300000000007</v>
          </cell>
          <cell r="CH448">
            <v>0</v>
          </cell>
          <cell r="CI448">
            <v>35</v>
          </cell>
          <cell r="CJ448">
            <v>38178.76</v>
          </cell>
          <cell r="CK448">
            <v>4022.71</v>
          </cell>
          <cell r="CL448">
            <v>11524.6</v>
          </cell>
          <cell r="CM448">
            <v>2141.14</v>
          </cell>
          <cell r="CN448">
            <v>1608.26</v>
          </cell>
          <cell r="CO448">
            <v>25611</v>
          </cell>
          <cell r="CP448">
            <v>21491.14</v>
          </cell>
          <cell r="CQ448">
            <v>0</v>
          </cell>
          <cell r="CR448">
            <v>340.75</v>
          </cell>
          <cell r="CS448">
            <v>2269.34</v>
          </cell>
          <cell r="CT448">
            <v>3250</v>
          </cell>
          <cell r="CU448">
            <v>50</v>
          </cell>
          <cell r="CV448">
            <v>35191.800000000003</v>
          </cell>
          <cell r="CW448">
            <v>4418.22</v>
          </cell>
          <cell r="CX448">
            <v>24555</v>
          </cell>
          <cell r="CY448">
            <v>61018.22</v>
          </cell>
          <cell r="CZ448">
            <v>12000</v>
          </cell>
          <cell r="DA448">
            <v>40</v>
          </cell>
          <cell r="DB448">
            <v>2918.22</v>
          </cell>
          <cell r="DC448">
            <v>20490.2</v>
          </cell>
          <cell r="DD448">
            <v>1111.5</v>
          </cell>
          <cell r="DE448">
            <v>4446.97</v>
          </cell>
          <cell r="DF448">
            <v>3868.75</v>
          </cell>
          <cell r="DG448">
            <v>0</v>
          </cell>
          <cell r="DH448">
            <v>170058.88</v>
          </cell>
        </row>
        <row r="449">
          <cell r="A449" t="str">
            <v>4265</v>
          </cell>
          <cell r="AK449">
            <v>0</v>
          </cell>
          <cell r="AL449">
            <v>0</v>
          </cell>
          <cell r="AM449">
            <v>52212.5</v>
          </cell>
          <cell r="AN449">
            <v>0</v>
          </cell>
          <cell r="AO449">
            <v>0</v>
          </cell>
          <cell r="AP449">
            <v>0</v>
          </cell>
          <cell r="AQ449">
            <v>0</v>
          </cell>
          <cell r="AR449">
            <v>0</v>
          </cell>
          <cell r="AS449">
            <v>0</v>
          </cell>
          <cell r="AT449">
            <v>0</v>
          </cell>
          <cell r="AU449">
            <v>0</v>
          </cell>
          <cell r="AV449">
            <v>0</v>
          </cell>
          <cell r="AW449">
            <v>0</v>
          </cell>
          <cell r="AX449">
            <v>21.58</v>
          </cell>
          <cell r="AY449">
            <v>0</v>
          </cell>
          <cell r="AZ449">
            <v>322.72000000000003</v>
          </cell>
          <cell r="BA449">
            <v>-247.08</v>
          </cell>
          <cell r="BB449">
            <v>-60.48</v>
          </cell>
          <cell r="BC449">
            <v>168.26</v>
          </cell>
          <cell r="BD449">
            <v>39.76</v>
          </cell>
          <cell r="BE449">
            <v>0</v>
          </cell>
          <cell r="BF449">
            <v>680.92</v>
          </cell>
          <cell r="BG449">
            <v>594.04</v>
          </cell>
          <cell r="BH449">
            <v>1691.18</v>
          </cell>
          <cell r="BI449">
            <v>2427.79</v>
          </cell>
          <cell r="BJ449">
            <v>1877.73</v>
          </cell>
          <cell r="BK449">
            <v>3833.85</v>
          </cell>
          <cell r="BL449">
            <v>2573.54</v>
          </cell>
          <cell r="BM449">
            <v>1196.08</v>
          </cell>
          <cell r="BN449">
            <v>4236.67</v>
          </cell>
          <cell r="BO449">
            <v>-1004.36</v>
          </cell>
          <cell r="BP449">
            <v>2740.65</v>
          </cell>
          <cell r="BQ449">
            <v>-6969.4</v>
          </cell>
          <cell r="BR449">
            <v>674.95</v>
          </cell>
          <cell r="BS449">
            <v>-1987.58</v>
          </cell>
          <cell r="BT449">
            <v>1457.65</v>
          </cell>
          <cell r="BU449">
            <v>4000.18</v>
          </cell>
          <cell r="BV449">
            <v>2862.25</v>
          </cell>
          <cell r="BW449">
            <v>3333.09</v>
          </cell>
          <cell r="BX449">
            <v>1716.41</v>
          </cell>
          <cell r="BY449">
            <v>1328.04</v>
          </cell>
          <cell r="BZ449">
            <v>-4447.1899999999996</v>
          </cell>
          <cell r="CA449">
            <v>204.78</v>
          </cell>
          <cell r="CB449">
            <v>4210.97</v>
          </cell>
          <cell r="CC449">
            <v>5413.12</v>
          </cell>
          <cell r="CD449">
            <v>3425.2</v>
          </cell>
          <cell r="CE449">
            <v>1766.81</v>
          </cell>
          <cell r="CF449">
            <v>-74.09</v>
          </cell>
          <cell r="CG449">
            <v>3263.67</v>
          </cell>
          <cell r="CH449">
            <v>4171.8999999999996</v>
          </cell>
          <cell r="CI449">
            <v>4948.1000000000004</v>
          </cell>
          <cell r="CJ449">
            <v>4251.91</v>
          </cell>
          <cell r="CK449">
            <v>7938.42</v>
          </cell>
          <cell r="CL449">
            <v>3555.15</v>
          </cell>
          <cell r="CM449">
            <v>10664.77</v>
          </cell>
          <cell r="CN449">
            <v>6945.01</v>
          </cell>
          <cell r="CO449">
            <v>2773.41</v>
          </cell>
          <cell r="CP449">
            <v>561.66999999999996</v>
          </cell>
          <cell r="CQ449">
            <v>867.44</v>
          </cell>
          <cell r="CR449">
            <v>51757.39</v>
          </cell>
          <cell r="CS449">
            <v>21363.09</v>
          </cell>
          <cell r="CT449">
            <v>7515.07</v>
          </cell>
          <cell r="CU449">
            <v>13376.04</v>
          </cell>
          <cell r="CV449">
            <v>3452.92</v>
          </cell>
          <cell r="CW449">
            <v>476.06</v>
          </cell>
          <cell r="CX449">
            <v>7106.76</v>
          </cell>
          <cell r="CY449">
            <v>-2736.1</v>
          </cell>
          <cell r="CZ449">
            <v>5701.26</v>
          </cell>
          <cell r="DA449">
            <v>100727.05</v>
          </cell>
          <cell r="DB449">
            <v>4281.47</v>
          </cell>
          <cell r="DC449">
            <v>235.82</v>
          </cell>
          <cell r="DD449">
            <v>0</v>
          </cell>
          <cell r="DE449">
            <v>636.33000000000004</v>
          </cell>
          <cell r="DF449">
            <v>3050.61</v>
          </cell>
          <cell r="DG449">
            <v>1727.41</v>
          </cell>
          <cell r="DH449">
            <v>124659.59000000001</v>
          </cell>
        </row>
        <row r="450">
          <cell r="A450" t="str">
            <v>4270</v>
          </cell>
          <cell r="D450">
            <v>997107.72</v>
          </cell>
          <cell r="E450">
            <v>997107.72</v>
          </cell>
          <cell r="F450">
            <v>997107.72</v>
          </cell>
          <cell r="G450">
            <v>997107.72</v>
          </cell>
          <cell r="H450">
            <v>1015232.72</v>
          </cell>
          <cell r="I450">
            <v>1033357.72</v>
          </cell>
          <cell r="J450">
            <v>1033357.72</v>
          </cell>
          <cell r="K450">
            <v>1033357.72</v>
          </cell>
          <cell r="L450">
            <v>1033357.72</v>
          </cell>
          <cell r="M450">
            <v>1033357.72</v>
          </cell>
          <cell r="N450">
            <v>1033357.72</v>
          </cell>
          <cell r="O450">
            <v>1033357.72</v>
          </cell>
          <cell r="P450">
            <v>1033357.72</v>
          </cell>
          <cell r="Q450">
            <v>1033357.73</v>
          </cell>
          <cell r="R450">
            <v>1033357.73</v>
          </cell>
          <cell r="S450">
            <v>1033357.73</v>
          </cell>
          <cell r="T450">
            <v>1033357.73</v>
          </cell>
          <cell r="U450">
            <v>1136024.3999999999</v>
          </cell>
          <cell r="V450">
            <v>1103357.73</v>
          </cell>
          <cell r="W450">
            <v>1103357.73</v>
          </cell>
          <cell r="X450">
            <v>1103357.73</v>
          </cell>
          <cell r="Y450">
            <v>1103357.73</v>
          </cell>
          <cell r="Z450">
            <v>1103357.73</v>
          </cell>
          <cell r="AA450">
            <v>1103357.73</v>
          </cell>
          <cell r="AB450">
            <v>1103357.73</v>
          </cell>
          <cell r="AC450">
            <v>1103357.73</v>
          </cell>
          <cell r="AD450">
            <v>1103357.73</v>
          </cell>
          <cell r="AE450">
            <v>1103357.73</v>
          </cell>
          <cell r="AF450">
            <v>1103357.73</v>
          </cell>
          <cell r="AG450">
            <v>1103357.73</v>
          </cell>
          <cell r="AH450">
            <v>1103357.73</v>
          </cell>
          <cell r="AI450">
            <v>1093107.73</v>
          </cell>
          <cell r="AJ450">
            <v>1103357.73</v>
          </cell>
          <cell r="AK450">
            <v>1103357.73</v>
          </cell>
          <cell r="AL450">
            <v>1103357.73</v>
          </cell>
          <cell r="AM450">
            <v>1103357.73</v>
          </cell>
          <cell r="AN450">
            <v>1103357.73</v>
          </cell>
          <cell r="AO450">
            <v>1103357.73</v>
          </cell>
          <cell r="AP450">
            <v>1103357.73</v>
          </cell>
          <cell r="AQ450">
            <v>1103357.73</v>
          </cell>
          <cell r="AR450">
            <v>1103357.73</v>
          </cell>
          <cell r="AS450">
            <v>1103357.73</v>
          </cell>
          <cell r="AT450">
            <v>1103357.73</v>
          </cell>
          <cell r="AU450">
            <v>1103357.73</v>
          </cell>
          <cell r="AV450">
            <v>1103357.73</v>
          </cell>
          <cell r="AW450">
            <v>1103357.73</v>
          </cell>
          <cell r="AX450">
            <v>1103357.73</v>
          </cell>
          <cell r="AY450">
            <v>1103357.73</v>
          </cell>
          <cell r="AZ450">
            <v>1103357.73</v>
          </cell>
          <cell r="BA450">
            <v>1103357.73</v>
          </cell>
          <cell r="BB450">
            <v>1103357.73</v>
          </cell>
          <cell r="BC450">
            <v>1103357.73</v>
          </cell>
          <cell r="BD450">
            <v>976274</v>
          </cell>
          <cell r="BE450">
            <v>1055232.6499999999</v>
          </cell>
          <cell r="BF450">
            <v>1117941.06</v>
          </cell>
          <cell r="BG450">
            <v>1117941.06</v>
          </cell>
          <cell r="BH450">
            <v>1117941.06</v>
          </cell>
          <cell r="BI450">
            <v>1198288.32</v>
          </cell>
          <cell r="BJ450">
            <v>1210649.3899999999</v>
          </cell>
          <cell r="BK450">
            <v>1210649.3899999999</v>
          </cell>
          <cell r="BL450">
            <v>1210649.3899999999</v>
          </cell>
          <cell r="BM450">
            <v>1210649.3899999999</v>
          </cell>
          <cell r="BN450">
            <v>1210649.3899999999</v>
          </cell>
          <cell r="BO450">
            <v>1210649.3899999999</v>
          </cell>
          <cell r="BP450">
            <v>1210649.3899999999</v>
          </cell>
          <cell r="BQ450">
            <v>1210649.3899999999</v>
          </cell>
          <cell r="BR450">
            <v>1230788.28</v>
          </cell>
          <cell r="BS450">
            <v>1286170.22</v>
          </cell>
          <cell r="BT450">
            <v>1286170.22</v>
          </cell>
          <cell r="BU450">
            <v>1286170.22</v>
          </cell>
          <cell r="BV450">
            <v>1286170.22</v>
          </cell>
          <cell r="BW450">
            <v>1286170.22</v>
          </cell>
          <cell r="BX450">
            <v>1286170.22</v>
          </cell>
          <cell r="BY450">
            <v>1286170.22</v>
          </cell>
          <cell r="BZ450">
            <v>1281135.51</v>
          </cell>
          <cell r="CA450">
            <v>1286170.22</v>
          </cell>
          <cell r="CB450">
            <v>1286170.22</v>
          </cell>
          <cell r="CC450">
            <v>1286170.22</v>
          </cell>
          <cell r="CD450">
            <v>1286170.22</v>
          </cell>
          <cell r="CE450">
            <v>1286170.22</v>
          </cell>
          <cell r="CF450">
            <v>1286170.22</v>
          </cell>
          <cell r="CG450">
            <v>1286170.22</v>
          </cell>
          <cell r="CH450">
            <v>1286170.22</v>
          </cell>
          <cell r="CI450">
            <v>1286170.22</v>
          </cell>
          <cell r="CJ450">
            <v>1286170.22</v>
          </cell>
          <cell r="CK450">
            <v>1286170.22</v>
          </cell>
          <cell r="CL450">
            <v>1603857.72</v>
          </cell>
          <cell r="CM450">
            <v>1846795.22</v>
          </cell>
          <cell r="CN450">
            <v>1636354.16</v>
          </cell>
          <cell r="CO450">
            <v>1741574.69</v>
          </cell>
          <cell r="CP450">
            <v>1636354.16</v>
          </cell>
          <cell r="CQ450">
            <v>1636354.16</v>
          </cell>
          <cell r="CR450">
            <v>1542916.66</v>
          </cell>
          <cell r="CS450">
            <v>1636354.16</v>
          </cell>
          <cell r="CT450">
            <v>1636354.16</v>
          </cell>
          <cell r="CU450">
            <v>1636354.16</v>
          </cell>
          <cell r="CV450">
            <v>1636354.16</v>
          </cell>
          <cell r="CW450">
            <v>1636354.16</v>
          </cell>
          <cell r="CX450">
            <v>1636354.16</v>
          </cell>
          <cell r="CY450">
            <v>1636354.16</v>
          </cell>
          <cell r="CZ450">
            <v>1636354.16</v>
          </cell>
          <cell r="DA450">
            <v>1636354.16</v>
          </cell>
          <cell r="DB450">
            <v>1802760.41</v>
          </cell>
          <cell r="DC450">
            <v>1913697.91</v>
          </cell>
          <cell r="DD450">
            <v>1886614.45</v>
          </cell>
          <cell r="DE450">
            <v>1859531.24</v>
          </cell>
          <cell r="DF450">
            <v>1859531.24</v>
          </cell>
          <cell r="DG450">
            <v>1859531.24</v>
          </cell>
          <cell r="DH450">
            <v>20999791.449999996</v>
          </cell>
        </row>
        <row r="451">
          <cell r="A451" t="str">
            <v>4280</v>
          </cell>
          <cell r="D451">
            <v>45243.49</v>
          </cell>
          <cell r="E451">
            <v>45243.49</v>
          </cell>
          <cell r="F451">
            <v>45243.49</v>
          </cell>
          <cell r="G451">
            <v>45243.49</v>
          </cell>
          <cell r="H451">
            <v>45257.87</v>
          </cell>
          <cell r="I451">
            <v>45696.66</v>
          </cell>
          <cell r="J451">
            <v>45572.94</v>
          </cell>
          <cell r="K451">
            <v>45564.24</v>
          </cell>
          <cell r="L451">
            <v>45768.45</v>
          </cell>
          <cell r="M451">
            <v>45596.65</v>
          </cell>
          <cell r="N451">
            <v>45594.559999999998</v>
          </cell>
          <cell r="O451">
            <v>45594.559999999998</v>
          </cell>
          <cell r="P451">
            <v>45594.559999999998</v>
          </cell>
          <cell r="Q451">
            <v>45594.559999999998</v>
          </cell>
          <cell r="R451">
            <v>45594.559999999998</v>
          </cell>
          <cell r="S451">
            <v>45594.559999999998</v>
          </cell>
          <cell r="T451">
            <v>78261.23</v>
          </cell>
          <cell r="U451">
            <v>12648.48</v>
          </cell>
          <cell r="V451">
            <v>45320.55</v>
          </cell>
          <cell r="W451">
            <v>45317.25</v>
          </cell>
          <cell r="X451">
            <v>45428.37</v>
          </cell>
          <cell r="Y451">
            <v>45345.03</v>
          </cell>
          <cell r="Z451">
            <v>45344.32</v>
          </cell>
          <cell r="AA451">
            <v>45363.15</v>
          </cell>
          <cell r="AB451">
            <v>45345.03</v>
          </cell>
          <cell r="AC451">
            <v>45345.03</v>
          </cell>
          <cell r="AD451">
            <v>45345.03</v>
          </cell>
          <cell r="AE451">
            <v>45345.03</v>
          </cell>
          <cell r="AF451">
            <v>45345.03</v>
          </cell>
          <cell r="AG451">
            <v>45345.03</v>
          </cell>
          <cell r="AH451">
            <v>45345.03</v>
          </cell>
          <cell r="AI451">
            <v>45345.03</v>
          </cell>
          <cell r="AJ451">
            <v>45345.03</v>
          </cell>
          <cell r="AK451">
            <v>45345.03</v>
          </cell>
          <cell r="AL451">
            <v>45345.03</v>
          </cell>
          <cell r="AM451">
            <v>45345.03</v>
          </cell>
          <cell r="AN451">
            <v>45345.03</v>
          </cell>
          <cell r="AO451">
            <v>45345.03</v>
          </cell>
          <cell r="AP451">
            <v>45345.03</v>
          </cell>
          <cell r="AQ451">
            <v>45345.03</v>
          </cell>
          <cell r="AR451">
            <v>45345.03</v>
          </cell>
          <cell r="AS451">
            <v>45345.03</v>
          </cell>
          <cell r="AT451">
            <v>45345.03</v>
          </cell>
          <cell r="AU451">
            <v>45345.03</v>
          </cell>
          <cell r="AV451">
            <v>45345.03</v>
          </cell>
          <cell r="AW451">
            <v>45345.03</v>
          </cell>
          <cell r="AX451">
            <v>45345.03</v>
          </cell>
          <cell r="AY451">
            <v>45345.03</v>
          </cell>
          <cell r="AZ451">
            <v>45345.03</v>
          </cell>
          <cell r="BA451">
            <v>45345.03</v>
          </cell>
          <cell r="BB451">
            <v>45345.03</v>
          </cell>
          <cell r="BC451">
            <v>45345.03</v>
          </cell>
          <cell r="BD451">
            <v>27368.99</v>
          </cell>
          <cell r="BE451">
            <v>12617.1</v>
          </cell>
          <cell r="BF451">
            <v>12704.24</v>
          </cell>
          <cell r="BG451">
            <v>12706.38</v>
          </cell>
          <cell r="BH451">
            <v>13141.73</v>
          </cell>
          <cell r="BI451">
            <v>13803.91</v>
          </cell>
          <cell r="BJ451">
            <v>13829.09</v>
          </cell>
          <cell r="BK451">
            <v>13850.32</v>
          </cell>
          <cell r="BL451">
            <v>13822.88</v>
          </cell>
          <cell r="BM451">
            <v>13822.88</v>
          </cell>
          <cell r="BN451">
            <v>14052.4</v>
          </cell>
          <cell r="BO451">
            <v>13860.92</v>
          </cell>
          <cell r="BP451">
            <v>13860.92</v>
          </cell>
          <cell r="BQ451">
            <v>13860.92</v>
          </cell>
          <cell r="BR451">
            <v>13860.92</v>
          </cell>
          <cell r="BS451">
            <v>15398.62</v>
          </cell>
          <cell r="BT451">
            <v>15460.32</v>
          </cell>
          <cell r="BU451">
            <v>15429.82</v>
          </cell>
          <cell r="BV451">
            <v>15429.82</v>
          </cell>
          <cell r="BW451">
            <v>15628.22</v>
          </cell>
          <cell r="BX451">
            <v>15469.92</v>
          </cell>
          <cell r="BY451">
            <v>15469.92</v>
          </cell>
          <cell r="BZ451">
            <v>15481.28</v>
          </cell>
          <cell r="CA451">
            <v>15471.2</v>
          </cell>
          <cell r="CB451">
            <v>15471.2</v>
          </cell>
          <cell r="CC451">
            <v>15471.2</v>
          </cell>
          <cell r="CD451">
            <v>15471.2</v>
          </cell>
          <cell r="CE451">
            <v>15471.2</v>
          </cell>
          <cell r="CF451">
            <v>15471.2</v>
          </cell>
          <cell r="CG451">
            <v>15471.2</v>
          </cell>
          <cell r="CH451">
            <v>15471.2</v>
          </cell>
          <cell r="CI451">
            <v>15471.2</v>
          </cell>
          <cell r="CJ451">
            <v>15471.2</v>
          </cell>
          <cell r="CK451">
            <v>15471.2</v>
          </cell>
          <cell r="CL451">
            <v>28962.53</v>
          </cell>
          <cell r="CM451">
            <v>30345.65</v>
          </cell>
          <cell r="CN451">
            <v>32308.91</v>
          </cell>
          <cell r="CO451">
            <v>34366.57</v>
          </cell>
          <cell r="CP451">
            <v>31548.63</v>
          </cell>
          <cell r="CQ451">
            <v>31548.63</v>
          </cell>
          <cell r="CR451">
            <v>31548.63</v>
          </cell>
          <cell r="CS451">
            <v>31548.63</v>
          </cell>
          <cell r="CT451">
            <v>33014.53</v>
          </cell>
          <cell r="CU451">
            <v>31548.63</v>
          </cell>
          <cell r="CV451">
            <v>31548.63</v>
          </cell>
          <cell r="CW451">
            <v>31548.63</v>
          </cell>
          <cell r="CX451">
            <v>31548.63</v>
          </cell>
          <cell r="CY451">
            <v>31548.63</v>
          </cell>
          <cell r="CZ451">
            <v>31548.63</v>
          </cell>
          <cell r="DA451">
            <v>31548.63</v>
          </cell>
          <cell r="DB451">
            <v>38388.78</v>
          </cell>
          <cell r="DC451">
            <v>41512.61</v>
          </cell>
          <cell r="DD451">
            <v>40002.01</v>
          </cell>
          <cell r="DE451">
            <v>39319.17</v>
          </cell>
          <cell r="DF451">
            <v>38387.68</v>
          </cell>
          <cell r="DG451">
            <v>38387.68</v>
          </cell>
          <cell r="DH451">
            <v>425289.70999999996</v>
          </cell>
        </row>
        <row r="452">
          <cell r="A452" t="str">
            <v>4310</v>
          </cell>
          <cell r="D452">
            <v>91832.03</v>
          </cell>
          <cell r="E452">
            <v>86843.68</v>
          </cell>
          <cell r="F452">
            <v>83829.72</v>
          </cell>
          <cell r="G452">
            <v>82862.45</v>
          </cell>
          <cell r="H452">
            <v>83203.09</v>
          </cell>
          <cell r="I452">
            <v>83004.789999999994</v>
          </cell>
          <cell r="J452">
            <v>83313.78</v>
          </cell>
          <cell r="K452">
            <v>83772.83</v>
          </cell>
          <cell r="L452">
            <v>84826.76</v>
          </cell>
          <cell r="M452">
            <v>85140.56</v>
          </cell>
          <cell r="N452">
            <v>83829.83</v>
          </cell>
          <cell r="O452">
            <v>87042.3</v>
          </cell>
          <cell r="P452">
            <v>91779.17</v>
          </cell>
          <cell r="Q452">
            <v>87967.99</v>
          </cell>
          <cell r="R452">
            <v>88312.63</v>
          </cell>
          <cell r="S452">
            <v>84733.17</v>
          </cell>
          <cell r="T452">
            <v>85537.26</v>
          </cell>
          <cell r="U452">
            <v>85868.43</v>
          </cell>
          <cell r="V452">
            <v>86218.240000000005</v>
          </cell>
          <cell r="W452">
            <v>86523.16</v>
          </cell>
          <cell r="X452">
            <v>86793.2</v>
          </cell>
          <cell r="Y452">
            <v>86922.98</v>
          </cell>
          <cell r="Z452">
            <v>87199.89</v>
          </cell>
          <cell r="AA452">
            <v>87642.38</v>
          </cell>
          <cell r="AB452">
            <v>88204.160000000003</v>
          </cell>
          <cell r="AC452">
            <v>84916.01</v>
          </cell>
          <cell r="AD452">
            <v>83468.460000000006</v>
          </cell>
          <cell r="AE452">
            <v>81129.69</v>
          </cell>
          <cell r="AF452">
            <v>79572.649999999994</v>
          </cell>
          <cell r="AG452">
            <v>78527.350000000006</v>
          </cell>
          <cell r="AH452">
            <v>77711.679999999993</v>
          </cell>
          <cell r="AI452">
            <v>75873.56</v>
          </cell>
          <cell r="AJ452">
            <v>74486.52</v>
          </cell>
          <cell r="AK452">
            <v>69929.990000000005</v>
          </cell>
          <cell r="AL452">
            <v>71695.98</v>
          </cell>
          <cell r="AM452">
            <v>91083.1</v>
          </cell>
          <cell r="AN452">
            <v>106376.67</v>
          </cell>
          <cell r="AO452">
            <v>111197.64</v>
          </cell>
          <cell r="AP452">
            <v>115433.49</v>
          </cell>
          <cell r="AQ452">
            <v>119292.82</v>
          </cell>
          <cell r="AR452">
            <v>96273.49</v>
          </cell>
          <cell r="AS452">
            <v>107307.95</v>
          </cell>
          <cell r="AT452">
            <v>118182.64</v>
          </cell>
          <cell r="AU452">
            <v>121484.48</v>
          </cell>
          <cell r="AV452">
            <v>189046.07</v>
          </cell>
          <cell r="AW452">
            <v>179486.34</v>
          </cell>
          <cell r="AX452">
            <v>83473.97</v>
          </cell>
          <cell r="AY452">
            <v>93967.35</v>
          </cell>
          <cell r="AZ452">
            <v>54753.9</v>
          </cell>
          <cell r="BA452">
            <v>251500.86</v>
          </cell>
          <cell r="BB452">
            <v>-122647.52</v>
          </cell>
          <cell r="BC452">
            <v>67679.490000000005</v>
          </cell>
          <cell r="BD452">
            <v>131602.81</v>
          </cell>
          <cell r="BE452">
            <v>148650.22</v>
          </cell>
          <cell r="BF452">
            <v>83348.53</v>
          </cell>
          <cell r="BG452">
            <v>77093.279999999999</v>
          </cell>
          <cell r="BH452">
            <v>83054.06</v>
          </cell>
          <cell r="BI452">
            <v>88636.19</v>
          </cell>
          <cell r="BJ452">
            <v>112575.9</v>
          </cell>
          <cell r="BK452">
            <v>195317.3</v>
          </cell>
          <cell r="BL452">
            <v>270593.53999999998</v>
          </cell>
          <cell r="BM452">
            <v>254938.72</v>
          </cell>
          <cell r="BN452">
            <v>238517.44</v>
          </cell>
          <cell r="BO452">
            <v>228488.16</v>
          </cell>
          <cell r="BP452">
            <v>173371.21</v>
          </cell>
          <cell r="BQ452">
            <v>-46770.7</v>
          </cell>
          <cell r="BR452">
            <v>182601.9</v>
          </cell>
          <cell r="BS452">
            <v>166855.78</v>
          </cell>
          <cell r="BT452">
            <v>174900.04</v>
          </cell>
          <cell r="BU452">
            <v>183329.45</v>
          </cell>
          <cell r="BV452">
            <v>185761.31</v>
          </cell>
          <cell r="BW452">
            <v>228886.96</v>
          </cell>
          <cell r="BX452">
            <v>65193.35</v>
          </cell>
          <cell r="BY452">
            <v>69209.09</v>
          </cell>
          <cell r="BZ452">
            <v>75353.75</v>
          </cell>
          <cell r="CA452">
            <v>68080.61</v>
          </cell>
          <cell r="CB452">
            <v>55867.64</v>
          </cell>
          <cell r="CC452">
            <v>821110.09</v>
          </cell>
          <cell r="CD452">
            <v>163389</v>
          </cell>
          <cell r="CE452">
            <v>160022.69</v>
          </cell>
          <cell r="CF452">
            <v>155534.31</v>
          </cell>
          <cell r="CG452">
            <v>173753.4</v>
          </cell>
          <cell r="CH452">
            <v>188205.81</v>
          </cell>
          <cell r="CI452">
            <v>202881.97</v>
          </cell>
          <cell r="CJ452">
            <v>242829.99</v>
          </cell>
          <cell r="CK452">
            <v>236632.34</v>
          </cell>
          <cell r="CL452">
            <v>198773.55</v>
          </cell>
          <cell r="CM452">
            <v>61351.61</v>
          </cell>
          <cell r="CN452">
            <v>82179.83</v>
          </cell>
          <cell r="CO452">
            <v>125163.83</v>
          </cell>
          <cell r="CP452">
            <v>82024.320000000007</v>
          </cell>
          <cell r="CQ452">
            <v>85168.46</v>
          </cell>
          <cell r="CR452">
            <v>77517.289999999994</v>
          </cell>
          <cell r="CS452">
            <v>91095.42</v>
          </cell>
          <cell r="CT452">
            <v>92735.29</v>
          </cell>
          <cell r="CU452">
            <v>104432.07</v>
          </cell>
          <cell r="CV452">
            <v>154024.62</v>
          </cell>
          <cell r="CW452">
            <v>132457.49</v>
          </cell>
          <cell r="CX452">
            <v>178230.33</v>
          </cell>
          <cell r="CY452">
            <v>220081.39</v>
          </cell>
          <cell r="CZ452">
            <v>291652.99</v>
          </cell>
          <cell r="DA452">
            <v>317240.2</v>
          </cell>
          <cell r="DB452">
            <v>397230.93</v>
          </cell>
          <cell r="DC452">
            <v>379236.04</v>
          </cell>
          <cell r="DD452">
            <v>460705.09</v>
          </cell>
          <cell r="DE452">
            <v>595762.93999999994</v>
          </cell>
          <cell r="DF452">
            <v>682799.43</v>
          </cell>
          <cell r="DG452">
            <v>797578.27</v>
          </cell>
          <cell r="DH452">
            <v>4606999.7200000007</v>
          </cell>
        </row>
        <row r="453">
          <cell r="A453" t="str">
            <v>4320</v>
          </cell>
          <cell r="BR453">
            <v>0</v>
          </cell>
          <cell r="BS453">
            <v>0</v>
          </cell>
          <cell r="BT453">
            <v>-28294.53</v>
          </cell>
          <cell r="BU453">
            <v>-65884.87</v>
          </cell>
          <cell r="BV453">
            <v>-25132.7</v>
          </cell>
          <cell r="BW453">
            <v>-31693.47</v>
          </cell>
          <cell r="BX453">
            <v>-41123.9</v>
          </cell>
          <cell r="BY453">
            <v>-51382.78</v>
          </cell>
          <cell r="BZ453">
            <v>-60040.59</v>
          </cell>
          <cell r="CA453">
            <v>-68313.5</v>
          </cell>
          <cell r="CB453">
            <v>-82831.14</v>
          </cell>
          <cell r="CC453">
            <v>-94708.89</v>
          </cell>
          <cell r="CD453">
            <v>-101897.5</v>
          </cell>
          <cell r="CE453">
            <v>-113702.74</v>
          </cell>
          <cell r="CF453">
            <v>-127173</v>
          </cell>
          <cell r="CG453">
            <v>-100603.36</v>
          </cell>
          <cell r="CH453">
            <v>-74277.42</v>
          </cell>
          <cell r="CI453">
            <v>-85997.18</v>
          </cell>
          <cell r="CJ453">
            <v>-97828.96</v>
          </cell>
          <cell r="CK453">
            <v>-118962.67</v>
          </cell>
          <cell r="CL453">
            <v>-125175.22</v>
          </cell>
          <cell r="CM453">
            <v>-101772.96</v>
          </cell>
          <cell r="CN453">
            <v>-70765.289999999994</v>
          </cell>
          <cell r="CO453">
            <v>-73446.960000000006</v>
          </cell>
          <cell r="CP453">
            <v>-79548.13</v>
          </cell>
          <cell r="CQ453">
            <v>-89530.79</v>
          </cell>
          <cell r="CR453">
            <v>-98143.71</v>
          </cell>
          <cell r="CS453">
            <v>-105329.65</v>
          </cell>
          <cell r="CT453">
            <v>-37935.15</v>
          </cell>
          <cell r="CU453">
            <v>-52206.77</v>
          </cell>
          <cell r="CV453">
            <v>-57599.07</v>
          </cell>
          <cell r="CW453">
            <v>-62866.879999999997</v>
          </cell>
          <cell r="CX453">
            <v>-68331.64</v>
          </cell>
          <cell r="CY453">
            <v>-75234.820000000007</v>
          </cell>
          <cell r="CZ453">
            <v>-83191.78</v>
          </cell>
          <cell r="DA453">
            <v>-92933.84</v>
          </cell>
          <cell r="DB453">
            <v>-103760.02</v>
          </cell>
          <cell r="DC453">
            <v>-111463.17</v>
          </cell>
          <cell r="DD453">
            <v>-118085.17</v>
          </cell>
          <cell r="DE453">
            <v>-53459.64</v>
          </cell>
          <cell r="DF453">
            <v>-78253.39</v>
          </cell>
          <cell r="DG453">
            <v>-84749.19</v>
          </cell>
          <cell r="DH453">
            <v>-989928.6100000001</v>
          </cell>
        </row>
        <row r="454">
          <cell r="A454" t="str">
            <v>4330</v>
          </cell>
          <cell r="D454">
            <v>-2181090.04</v>
          </cell>
          <cell r="E454">
            <v>4502626.84</v>
          </cell>
          <cell r="F454">
            <v>4881883.5599999996</v>
          </cell>
          <cell r="G454">
            <v>-8672808.1699999999</v>
          </cell>
          <cell r="H454">
            <v>1814214.4</v>
          </cell>
          <cell r="I454">
            <v>2478542.08</v>
          </cell>
          <cell r="J454">
            <v>-8287360.1799999997</v>
          </cell>
          <cell r="K454">
            <v>1711061.1</v>
          </cell>
          <cell r="L454">
            <v>1334666.74</v>
          </cell>
          <cell r="M454">
            <v>-3454548.84</v>
          </cell>
          <cell r="N454">
            <v>2825107.6</v>
          </cell>
          <cell r="O454">
            <v>3729886.48</v>
          </cell>
          <cell r="P454">
            <v>5545677.0499999998</v>
          </cell>
          <cell r="Q454">
            <v>-1618732.23</v>
          </cell>
          <cell r="R454">
            <v>4121482.69</v>
          </cell>
          <cell r="S454">
            <v>-11865145.140000001</v>
          </cell>
          <cell r="T454">
            <v>2343817.73</v>
          </cell>
          <cell r="U454">
            <v>2795820.78</v>
          </cell>
          <cell r="V454">
            <v>-7002762.9199999999</v>
          </cell>
          <cell r="W454">
            <v>2511676.65</v>
          </cell>
          <cell r="X454">
            <v>1860447.41</v>
          </cell>
          <cell r="Y454">
            <v>2165009.88</v>
          </cell>
          <cell r="Z454">
            <v>-5334041.95</v>
          </cell>
          <cell r="AA454">
            <v>2949033.29</v>
          </cell>
          <cell r="AB454">
            <v>5297380.29</v>
          </cell>
          <cell r="AC454">
            <v>-380394.57</v>
          </cell>
          <cell r="AD454">
            <v>2373165.4700000002</v>
          </cell>
          <cell r="AE454">
            <v>2946014.46</v>
          </cell>
          <cell r="AF454">
            <v>-10925439.9</v>
          </cell>
          <cell r="AG454">
            <v>-6769928.9000000004</v>
          </cell>
          <cell r="AH454">
            <v>2616097.65</v>
          </cell>
          <cell r="AI454">
            <v>2019875.78</v>
          </cell>
          <cell r="AJ454">
            <v>1958976.08</v>
          </cell>
          <cell r="AK454">
            <v>2943980.86</v>
          </cell>
          <cell r="AL454">
            <v>-2853946.38</v>
          </cell>
          <cell r="AM454">
            <v>2053249.05</v>
          </cell>
          <cell r="AN454">
            <v>5364828.88</v>
          </cell>
          <cell r="AO454">
            <v>-4136101.49</v>
          </cell>
          <cell r="AP454">
            <v>4536791.43</v>
          </cell>
          <cell r="AQ454">
            <v>3830968.03</v>
          </cell>
          <cell r="AR454">
            <v>-7570916.29</v>
          </cell>
          <cell r="AS454">
            <v>2081619.07</v>
          </cell>
          <cell r="AT454">
            <v>2758883.76</v>
          </cell>
          <cell r="AU454">
            <v>-9589224.5600000005</v>
          </cell>
          <cell r="AV454">
            <v>2707918.43</v>
          </cell>
          <cell r="AW454">
            <v>2630149.91</v>
          </cell>
          <cell r="AX454">
            <v>-3894080.18</v>
          </cell>
          <cell r="AY454">
            <v>5584119.0700000003</v>
          </cell>
          <cell r="AZ454">
            <v>9302106.2899999991</v>
          </cell>
          <cell r="BA454">
            <v>-9862049.3100000005</v>
          </cell>
          <cell r="BB454">
            <v>1650568.72</v>
          </cell>
          <cell r="BC454">
            <v>5304901.6399999997</v>
          </cell>
          <cell r="BD454">
            <v>-12767979.300000001</v>
          </cell>
          <cell r="BE454">
            <v>3096375</v>
          </cell>
          <cell r="BF454">
            <v>3105270.2</v>
          </cell>
          <cell r="BG454">
            <v>-8557337.3599999994</v>
          </cell>
          <cell r="BH454">
            <v>3697950.51</v>
          </cell>
          <cell r="BI454">
            <v>2803273.23</v>
          </cell>
          <cell r="BJ454">
            <v>-5813460.6699999999</v>
          </cell>
          <cell r="BK454">
            <v>5493355.7599999998</v>
          </cell>
          <cell r="BL454">
            <v>6617945.8899999997</v>
          </cell>
          <cell r="BM454">
            <v>-5951830.5</v>
          </cell>
          <cell r="BN454">
            <v>5496050.3099999996</v>
          </cell>
          <cell r="BO454">
            <v>5226930.1900000004</v>
          </cell>
          <cell r="BP454">
            <v>-13397496.93</v>
          </cell>
          <cell r="BQ454">
            <v>3765173.37</v>
          </cell>
          <cell r="BR454">
            <v>3058815.38</v>
          </cell>
          <cell r="BS454">
            <v>-9733380.8399999999</v>
          </cell>
          <cell r="BT454">
            <v>3683859.63</v>
          </cell>
          <cell r="BU454">
            <v>3425609.09</v>
          </cell>
          <cell r="BV454">
            <v>-6182919.29</v>
          </cell>
          <cell r="BW454">
            <v>4061403.69</v>
          </cell>
          <cell r="BX454">
            <v>7675617.6200000001</v>
          </cell>
          <cell r="BY454">
            <v>-5948184.0800000001</v>
          </cell>
          <cell r="BZ454">
            <v>4844783.18</v>
          </cell>
          <cell r="CA454">
            <v>3710728.28</v>
          </cell>
          <cell r="CB454">
            <v>-14852521.16</v>
          </cell>
          <cell r="CC454">
            <v>3209793.14</v>
          </cell>
          <cell r="CD454">
            <v>3096133.42</v>
          </cell>
          <cell r="CE454">
            <v>-6771045.1500000004</v>
          </cell>
          <cell r="CF454">
            <v>3415357.65</v>
          </cell>
          <cell r="CG454">
            <v>2946877.3</v>
          </cell>
          <cell r="CH454">
            <v>-5179416.92</v>
          </cell>
          <cell r="CI454">
            <v>4619564.9800000004</v>
          </cell>
          <cell r="CJ454">
            <v>11395487.33</v>
          </cell>
          <cell r="CK454">
            <v>-4646700.9000000004</v>
          </cell>
          <cell r="CL454">
            <v>7690800.4699999997</v>
          </cell>
          <cell r="CM454">
            <v>-19402192.890000001</v>
          </cell>
          <cell r="CN454">
            <v>5523422.1399999997</v>
          </cell>
          <cell r="CO454">
            <v>5442618.1799999997</v>
          </cell>
          <cell r="CP454">
            <v>4434602.46</v>
          </cell>
          <cell r="CQ454">
            <v>-13892246.57</v>
          </cell>
          <cell r="CR454">
            <v>5555927.8700000001</v>
          </cell>
          <cell r="CS454">
            <v>5105687.1500000004</v>
          </cell>
          <cell r="CT454">
            <v>-8957171.2300000004</v>
          </cell>
          <cell r="CU454">
            <v>5862599.79</v>
          </cell>
          <cell r="CV454">
            <v>9787937.4600000009</v>
          </cell>
          <cell r="CW454">
            <v>-7920739.6399999997</v>
          </cell>
          <cell r="CX454">
            <v>10906631.869999999</v>
          </cell>
          <cell r="CY454">
            <v>-22833862.670000002</v>
          </cell>
          <cell r="CZ454">
            <v>6255344.3099999996</v>
          </cell>
          <cell r="DA454">
            <v>6658559.8300000001</v>
          </cell>
          <cell r="DB454">
            <v>4395198.3499999996</v>
          </cell>
          <cell r="DC454">
            <v>-15060884.5</v>
          </cell>
          <cell r="DD454">
            <v>7270008.4299999997</v>
          </cell>
          <cell r="DE454">
            <v>-11423300.48</v>
          </cell>
          <cell r="DF454">
            <v>5933019.0599999996</v>
          </cell>
          <cell r="DG454">
            <v>6107119.9299999997</v>
          </cell>
          <cell r="DH454">
            <v>75031.949999996461</v>
          </cell>
        </row>
        <row r="455">
          <cell r="A455" t="str">
            <v>4380</v>
          </cell>
          <cell r="D455">
            <v>7357286.6799999997</v>
          </cell>
          <cell r="E455">
            <v>0</v>
          </cell>
          <cell r="F455">
            <v>0</v>
          </cell>
          <cell r="G455">
            <v>11948603.68</v>
          </cell>
          <cell r="H455">
            <v>0</v>
          </cell>
          <cell r="I455">
            <v>0</v>
          </cell>
          <cell r="J455">
            <v>9971893.4700000007</v>
          </cell>
          <cell r="K455">
            <v>0</v>
          </cell>
          <cell r="L455">
            <v>0</v>
          </cell>
          <cell r="M455">
            <v>5874136.4699999997</v>
          </cell>
          <cell r="N455">
            <v>0</v>
          </cell>
          <cell r="O455">
            <v>0</v>
          </cell>
          <cell r="P455">
            <v>0</v>
          </cell>
          <cell r="Q455">
            <v>6579361.9699999997</v>
          </cell>
          <cell r="R455">
            <v>0</v>
          </cell>
          <cell r="S455">
            <v>14236193.27</v>
          </cell>
          <cell r="T455">
            <v>0</v>
          </cell>
          <cell r="U455">
            <v>0</v>
          </cell>
          <cell r="V455">
            <v>8836348.5500000007</v>
          </cell>
          <cell r="W455">
            <v>0</v>
          </cell>
          <cell r="X455">
            <v>0</v>
          </cell>
          <cell r="Y455">
            <v>0</v>
          </cell>
          <cell r="Z455">
            <v>7141083.0599999996</v>
          </cell>
          <cell r="AA455">
            <v>0</v>
          </cell>
          <cell r="AB455">
            <v>0</v>
          </cell>
          <cell r="AC455">
            <v>5832498.4000000004</v>
          </cell>
          <cell r="AD455">
            <v>0</v>
          </cell>
          <cell r="AE455">
            <v>0</v>
          </cell>
          <cell r="AF455">
            <v>13698517.41</v>
          </cell>
          <cell r="AG455">
            <v>8092257.4400000004</v>
          </cell>
          <cell r="AH455">
            <v>0</v>
          </cell>
          <cell r="AI455">
            <v>0</v>
          </cell>
          <cell r="AJ455">
            <v>0</v>
          </cell>
          <cell r="AK455">
            <v>0</v>
          </cell>
          <cell r="AL455">
            <v>5958301.9699999997</v>
          </cell>
          <cell r="AM455">
            <v>0</v>
          </cell>
          <cell r="AN455">
            <v>0</v>
          </cell>
          <cell r="AO455">
            <v>8007312.5300000003</v>
          </cell>
          <cell r="AP455">
            <v>0</v>
          </cell>
          <cell r="AQ455">
            <v>0</v>
          </cell>
          <cell r="AR455">
            <v>11289288.970000001</v>
          </cell>
          <cell r="AS455">
            <v>0</v>
          </cell>
          <cell r="AT455">
            <v>0</v>
          </cell>
          <cell r="AU455">
            <v>12086132.140000001</v>
          </cell>
          <cell r="AV455">
            <v>0</v>
          </cell>
          <cell r="AW455">
            <v>0</v>
          </cell>
          <cell r="AX455">
            <v>7337410.4100000001</v>
          </cell>
          <cell r="AY455">
            <v>0</v>
          </cell>
          <cell r="AZ455">
            <v>0</v>
          </cell>
          <cell r="BA455">
            <v>14365517.640000001</v>
          </cell>
          <cell r="BB455">
            <v>0</v>
          </cell>
          <cell r="BC455">
            <v>0</v>
          </cell>
          <cell r="BD455">
            <v>15456143.34</v>
          </cell>
          <cell r="BE455">
            <v>0</v>
          </cell>
          <cell r="BF455">
            <v>0</v>
          </cell>
          <cell r="BG455">
            <v>11089440.68</v>
          </cell>
          <cell r="BH455">
            <v>0</v>
          </cell>
          <cell r="BI455">
            <v>0</v>
          </cell>
          <cell r="BJ455">
            <v>9335324.0299999993</v>
          </cell>
          <cell r="BK455">
            <v>0</v>
          </cell>
          <cell r="BL455">
            <v>0</v>
          </cell>
          <cell r="BM455">
            <v>11818492.35</v>
          </cell>
          <cell r="BN455">
            <v>0</v>
          </cell>
          <cell r="BO455">
            <v>0</v>
          </cell>
          <cell r="BP455">
            <v>17980658.050000001</v>
          </cell>
          <cell r="BQ455">
            <v>0</v>
          </cell>
          <cell r="BR455">
            <v>0</v>
          </cell>
          <cell r="BS455">
            <v>13575264.68</v>
          </cell>
          <cell r="BT455">
            <v>0</v>
          </cell>
          <cell r="BU455">
            <v>0</v>
          </cell>
          <cell r="BV455">
            <v>10584558</v>
          </cell>
          <cell r="BW455">
            <v>0</v>
          </cell>
          <cell r="BX455">
            <v>0</v>
          </cell>
          <cell r="BY455">
            <v>11888651</v>
          </cell>
          <cell r="BZ455">
            <v>0</v>
          </cell>
          <cell r="CA455">
            <v>0</v>
          </cell>
          <cell r="CB455">
            <v>18460868</v>
          </cell>
          <cell r="CC455">
            <v>0</v>
          </cell>
          <cell r="CD455">
            <v>0</v>
          </cell>
          <cell r="CE455">
            <v>10528868</v>
          </cell>
          <cell r="CF455">
            <v>0</v>
          </cell>
          <cell r="CG455">
            <v>0</v>
          </cell>
          <cell r="CH455">
            <v>10269314</v>
          </cell>
          <cell r="CI455">
            <v>0</v>
          </cell>
          <cell r="CJ455">
            <v>0</v>
          </cell>
          <cell r="CK455">
            <v>12656339</v>
          </cell>
          <cell r="CL455">
            <v>0</v>
          </cell>
          <cell r="CM455">
            <v>27095926</v>
          </cell>
          <cell r="CN455">
            <v>0</v>
          </cell>
          <cell r="CO455">
            <v>0</v>
          </cell>
          <cell r="CP455">
            <v>0</v>
          </cell>
          <cell r="CQ455">
            <v>18659773</v>
          </cell>
          <cell r="CR455">
            <v>0</v>
          </cell>
          <cell r="CS455">
            <v>0</v>
          </cell>
          <cell r="CT455">
            <v>14758057</v>
          </cell>
          <cell r="CU455">
            <v>0</v>
          </cell>
          <cell r="CV455">
            <v>0</v>
          </cell>
          <cell r="CW455">
            <v>16769173</v>
          </cell>
          <cell r="CX455">
            <v>0</v>
          </cell>
          <cell r="CY455">
            <v>29543003</v>
          </cell>
          <cell r="CZ455">
            <v>0</v>
          </cell>
          <cell r="DA455">
            <v>0</v>
          </cell>
          <cell r="DB455">
            <v>0</v>
          </cell>
          <cell r="DC455">
            <v>19623044</v>
          </cell>
          <cell r="DD455">
            <v>0</v>
          </cell>
          <cell r="DE455">
            <v>16227366</v>
          </cell>
          <cell r="DF455">
            <v>0</v>
          </cell>
          <cell r="DG455">
            <v>0</v>
          </cell>
          <cell r="DH455">
            <v>82162586</v>
          </cell>
        </row>
        <row r="456">
          <cell r="A456" t="str">
            <v>4560</v>
          </cell>
          <cell r="D456">
            <v>0</v>
          </cell>
          <cell r="E456">
            <v>0</v>
          </cell>
          <cell r="F456">
            <v>0</v>
          </cell>
          <cell r="G456">
            <v>0</v>
          </cell>
          <cell r="H456">
            <v>0</v>
          </cell>
          <cell r="I456">
            <v>0</v>
          </cell>
          <cell r="J456">
            <v>0</v>
          </cell>
          <cell r="K456">
            <v>0</v>
          </cell>
          <cell r="L456">
            <v>0</v>
          </cell>
          <cell r="M456">
            <v>0</v>
          </cell>
          <cell r="N456">
            <v>0</v>
          </cell>
          <cell r="O456">
            <v>0</v>
          </cell>
          <cell r="DH456">
            <v>0</v>
          </cell>
        </row>
        <row r="457">
          <cell r="A457" t="str">
            <v>4800</v>
          </cell>
          <cell r="D457">
            <v>-18789070.870000001</v>
          </cell>
          <cell r="E457">
            <v>-17974787.210000001</v>
          </cell>
          <cell r="F457">
            <v>-12072394.210000001</v>
          </cell>
          <cell r="G457">
            <v>-11512611.34</v>
          </cell>
          <cell r="H457">
            <v>-9204449.0899999999</v>
          </cell>
          <cell r="I457">
            <v>-9401415.9199999999</v>
          </cell>
          <cell r="J457">
            <v>-8616808.4900000002</v>
          </cell>
          <cell r="K457">
            <v>-8341471.8700000001</v>
          </cell>
          <cell r="L457">
            <v>-8876012.4299999997</v>
          </cell>
          <cell r="M457">
            <v>-9407334.7400000002</v>
          </cell>
          <cell r="N457">
            <v>-11392701.92</v>
          </cell>
          <cell r="O457">
            <v>-16023211.560000001</v>
          </cell>
          <cell r="P457">
            <v>-17146562.120000001</v>
          </cell>
          <cell r="Q457">
            <v>-16308098.98</v>
          </cell>
          <cell r="R457">
            <v>-14821418.9</v>
          </cell>
          <cell r="S457">
            <v>-9110900.8399999999</v>
          </cell>
          <cell r="T457">
            <v>-8985543.3499999996</v>
          </cell>
          <cell r="U457">
            <v>-9531636.3800000008</v>
          </cell>
          <cell r="V457">
            <v>-8548703.2799999993</v>
          </cell>
          <cell r="W457">
            <v>-8938662.9800000004</v>
          </cell>
          <cell r="X457">
            <v>-8913731.5299999993</v>
          </cell>
          <cell r="Y457">
            <v>-9314477.0199999996</v>
          </cell>
          <cell r="Z457">
            <v>-10620000.07</v>
          </cell>
          <cell r="AA457">
            <v>-12335179.560000001</v>
          </cell>
          <cell r="AB457">
            <v>-17160821.050000001</v>
          </cell>
          <cell r="AC457">
            <v>-18845612.18</v>
          </cell>
          <cell r="AD457">
            <v>-13444605.42</v>
          </cell>
          <cell r="AE457">
            <v>-10931467.970000001</v>
          </cell>
          <cell r="AF457">
            <v>-10047229.130000001</v>
          </cell>
          <cell r="AG457">
            <v>-8956120.2799999993</v>
          </cell>
          <cell r="AH457">
            <v>-8211620.5800000001</v>
          </cell>
          <cell r="AI457">
            <v>-8498263.0700000003</v>
          </cell>
          <cell r="AJ457">
            <v>-8749395.3100000005</v>
          </cell>
          <cell r="AK457">
            <v>-8862736.3000000007</v>
          </cell>
          <cell r="AL457">
            <v>-10510381.029999999</v>
          </cell>
          <cell r="AM457">
            <v>-12762491.27</v>
          </cell>
          <cell r="AN457">
            <v>-14720023.439999999</v>
          </cell>
          <cell r="AO457">
            <v>-13827429.51</v>
          </cell>
          <cell r="AP457">
            <v>-12172738.6</v>
          </cell>
          <cell r="AQ457">
            <v>-12116790.6</v>
          </cell>
          <cell r="AR457">
            <v>-9770434.3800000008</v>
          </cell>
          <cell r="AS457">
            <v>-8920686.9299999997</v>
          </cell>
          <cell r="AT457">
            <v>-8592431.6500000004</v>
          </cell>
          <cell r="AU457">
            <v>-8779572.8499999996</v>
          </cell>
          <cell r="AV457">
            <v>-10086790.9</v>
          </cell>
          <cell r="AW457">
            <v>-9764900.4399999995</v>
          </cell>
          <cell r="AX457">
            <v>-11846411.35</v>
          </cell>
          <cell r="AY457">
            <v>-14779023.710000001</v>
          </cell>
          <cell r="AZ457">
            <v>-25308184.75</v>
          </cell>
          <cell r="BA457">
            <v>-17174539</v>
          </cell>
          <cell r="BB457">
            <v>-11911371.42</v>
          </cell>
          <cell r="BC457">
            <v>-14470072</v>
          </cell>
          <cell r="BD457">
            <v>-10129247.9</v>
          </cell>
          <cell r="BE457">
            <v>-9704933.2200000007</v>
          </cell>
          <cell r="BF457">
            <v>-9559028.3399999999</v>
          </cell>
          <cell r="BG457">
            <v>-9282203.4399999995</v>
          </cell>
          <cell r="BH457">
            <v>-10118267.810000001</v>
          </cell>
          <cell r="BI457">
            <v>-9461613.5099999998</v>
          </cell>
          <cell r="BJ457">
            <v>-11331414.84</v>
          </cell>
          <cell r="BK457">
            <v>-15658973.699999999</v>
          </cell>
          <cell r="BL457">
            <v>-18509048.350000001</v>
          </cell>
          <cell r="BM457">
            <v>-16272346.470000001</v>
          </cell>
          <cell r="BN457">
            <v>-14136282.07</v>
          </cell>
          <cell r="BO457">
            <v>-14510060.26</v>
          </cell>
          <cell r="BP457">
            <v>-11453413.99</v>
          </cell>
          <cell r="BQ457">
            <v>-9741135.8399999999</v>
          </cell>
          <cell r="BR457">
            <v>-9869781.0299999993</v>
          </cell>
          <cell r="BS457">
            <v>-8973386.5399999991</v>
          </cell>
          <cell r="BT457">
            <v>-9873812.5700000003</v>
          </cell>
          <cell r="BU457">
            <v>-9662683.8300000001</v>
          </cell>
          <cell r="BV457">
            <v>-12129852.220000001</v>
          </cell>
          <cell r="BW457">
            <v>-16044610.1</v>
          </cell>
          <cell r="BX457">
            <v>-17619082.52</v>
          </cell>
          <cell r="BY457">
            <v>-15620600.68</v>
          </cell>
          <cell r="BZ457">
            <v>-13452666.41</v>
          </cell>
          <cell r="CA457">
            <v>-12722541.84</v>
          </cell>
          <cell r="CB457">
            <v>-11904847.33</v>
          </cell>
          <cell r="CC457">
            <v>-10926414.619999999</v>
          </cell>
          <cell r="CD457">
            <v>-9415780.2799999993</v>
          </cell>
          <cell r="CE457">
            <v>-9916007.6699999999</v>
          </cell>
          <cell r="CF457">
            <v>-9877256.0999999996</v>
          </cell>
          <cell r="CG457">
            <v>-10966189.01</v>
          </cell>
          <cell r="CH457">
            <v>-12940613.550000001</v>
          </cell>
          <cell r="CI457">
            <v>-19829450.940000001</v>
          </cell>
          <cell r="CJ457">
            <v>-26457420.960000001</v>
          </cell>
          <cell r="CK457">
            <v>-19184048.739999998</v>
          </cell>
          <cell r="CL457">
            <v>-20098401.280000001</v>
          </cell>
          <cell r="CM457">
            <v>-19209311.260000002</v>
          </cell>
          <cell r="CN457">
            <v>-14369600.52</v>
          </cell>
          <cell r="CO457">
            <v>-14243262.9</v>
          </cell>
          <cell r="CP457">
            <v>-13561702.66</v>
          </cell>
          <cell r="CQ457">
            <v>-13058455.18</v>
          </cell>
          <cell r="CR457">
            <v>-13931671.439999999</v>
          </cell>
          <cell r="CS457">
            <v>-14110256.74</v>
          </cell>
          <cell r="CT457">
            <v>-17172599.760000002</v>
          </cell>
          <cell r="CU457">
            <v>-22874214.050000001</v>
          </cell>
          <cell r="CV457">
            <v>-27758182.899999999</v>
          </cell>
          <cell r="CW457">
            <v>-26882190.350000001</v>
          </cell>
          <cell r="CX457">
            <v>-19298906.43</v>
          </cell>
          <cell r="CY457">
            <v>-18653376.609999999</v>
          </cell>
          <cell r="CZ457">
            <v>-16680760.27</v>
          </cell>
          <cell r="DA457">
            <v>-14033111.210000001</v>
          </cell>
          <cell r="DB457">
            <v>-13393189.880000001</v>
          </cell>
          <cell r="DC457">
            <v>-17022450.91</v>
          </cell>
          <cell r="DD457">
            <v>-16044413.35</v>
          </cell>
          <cell r="DE457">
            <v>-20444215.59</v>
          </cell>
          <cell r="DF457">
            <v>-14648919.77</v>
          </cell>
          <cell r="DG457">
            <v>-20183603.059999999</v>
          </cell>
          <cell r="DH457">
            <v>-225043320.33000001</v>
          </cell>
        </row>
        <row r="458">
          <cell r="A458" t="str">
            <v>4810</v>
          </cell>
          <cell r="D458">
            <v>-9281661.2799999993</v>
          </cell>
          <cell r="E458">
            <v>-6942485.1799999997</v>
          </cell>
          <cell r="F458">
            <v>-6196518.0700000003</v>
          </cell>
          <cell r="G458">
            <v>-9812135.8399999999</v>
          </cell>
          <cell r="H458">
            <v>-4873328.57</v>
          </cell>
          <cell r="I458">
            <v>-4949811.8899999997</v>
          </cell>
          <cell r="J458">
            <v>-7088126.04</v>
          </cell>
          <cell r="K458">
            <v>-9144553</v>
          </cell>
          <cell r="L458">
            <v>-6028157.7400000002</v>
          </cell>
          <cell r="M458">
            <v>-6220286.9299999997</v>
          </cell>
          <cell r="N458">
            <v>-6167285.9199999999</v>
          </cell>
          <cell r="O458">
            <v>-6326820.54</v>
          </cell>
          <cell r="P458">
            <v>-7235355.2400000002</v>
          </cell>
          <cell r="Q458">
            <v>-7653264.3300000001</v>
          </cell>
          <cell r="R458">
            <v>-5861467.4100000001</v>
          </cell>
          <cell r="S458">
            <v>-8813333.6300000008</v>
          </cell>
          <cell r="T458">
            <v>-5914370.3399999999</v>
          </cell>
          <cell r="U458">
            <v>-9083584.1099999994</v>
          </cell>
          <cell r="V458">
            <v>-6001980.0499999998</v>
          </cell>
          <cell r="W458">
            <v>-8775359.1300000008</v>
          </cell>
          <cell r="X458">
            <v>-7151083.5800000001</v>
          </cell>
          <cell r="Y458">
            <v>-7412057.1299999999</v>
          </cell>
          <cell r="Z458">
            <v>-10373787.6</v>
          </cell>
          <cell r="AA458">
            <v>-5498301.5499999998</v>
          </cell>
          <cell r="AB458">
            <v>-8493884.5299999993</v>
          </cell>
          <cell r="AC458">
            <v>-8535137.2899999991</v>
          </cell>
          <cell r="AD458">
            <v>-8529452.0600000005</v>
          </cell>
          <cell r="AE458">
            <v>-10628465.720000001</v>
          </cell>
          <cell r="AF458">
            <v>-7450734.2300000004</v>
          </cell>
          <cell r="AG458">
            <v>-9214933.5999999996</v>
          </cell>
          <cell r="AH458">
            <v>-13243087.539999999</v>
          </cell>
          <cell r="AI458">
            <v>-12055907.91</v>
          </cell>
          <cell r="AJ458">
            <v>-10066072.119999999</v>
          </cell>
          <cell r="AK458">
            <v>-10467432.119999999</v>
          </cell>
          <cell r="AL458">
            <v>-5438106.2999999998</v>
          </cell>
          <cell r="AM458">
            <v>-6284243.4699999997</v>
          </cell>
          <cell r="AN458">
            <v>-7328944.2300000004</v>
          </cell>
          <cell r="AO458">
            <v>-6696487.6399999997</v>
          </cell>
          <cell r="AP458">
            <v>-6097147.2400000002</v>
          </cell>
          <cell r="AQ458">
            <v>-8729546.9499999993</v>
          </cell>
          <cell r="AR458">
            <v>-9438397.3599999994</v>
          </cell>
          <cell r="AS458">
            <v>-7262160.46</v>
          </cell>
          <cell r="AT458">
            <v>-9404221.8800000008</v>
          </cell>
          <cell r="AU458">
            <v>-14720457.949999999</v>
          </cell>
          <cell r="AV458">
            <v>-13025019.35</v>
          </cell>
          <cell r="AW458">
            <v>-7109268.5199999996</v>
          </cell>
          <cell r="AX458">
            <v>-7620892.0099999998</v>
          </cell>
          <cell r="AY458">
            <v>-10331192.130000001</v>
          </cell>
          <cell r="AZ458">
            <v>-13920525.58</v>
          </cell>
          <cell r="BA458">
            <v>-8284049.6500000004</v>
          </cell>
          <cell r="BB458">
            <v>-5770678.2300000004</v>
          </cell>
          <cell r="BC458">
            <v>-7147212.3600000003</v>
          </cell>
          <cell r="BD458">
            <v>-7933673.7999999998</v>
          </cell>
          <cell r="BE458">
            <v>-11029266.029999999</v>
          </cell>
          <cell r="BF458">
            <v>-12692018.039999999</v>
          </cell>
          <cell r="BG458">
            <v>-9600349.6199999992</v>
          </cell>
          <cell r="BH458">
            <v>-11244221.15</v>
          </cell>
          <cell r="BI458">
            <v>-13462137.279999999</v>
          </cell>
          <cell r="BJ458">
            <v>-9918969.3200000003</v>
          </cell>
          <cell r="BK458">
            <v>-8022036.0199999996</v>
          </cell>
          <cell r="BL458">
            <v>-9609637.7200000007</v>
          </cell>
          <cell r="BM458">
            <v>-6735495.1100000003</v>
          </cell>
          <cell r="BN458">
            <v>-7989982.2199999997</v>
          </cell>
          <cell r="BO458">
            <v>-7737686.0499999998</v>
          </cell>
          <cell r="BP458">
            <v>-9889265.2699999996</v>
          </cell>
          <cell r="BQ458">
            <v>-6775396.1900000004</v>
          </cell>
          <cell r="BR458">
            <v>-6673373.5599999996</v>
          </cell>
          <cell r="BS458">
            <v>-6442681.9199999999</v>
          </cell>
          <cell r="BT458">
            <v>-10078716.07</v>
          </cell>
          <cell r="BU458">
            <v>-8599046.7400000002</v>
          </cell>
          <cell r="BV458">
            <v>-7186578.8099999996</v>
          </cell>
          <cell r="BW458">
            <v>-7033282.6600000001</v>
          </cell>
          <cell r="BX458">
            <v>-8408399.2699999996</v>
          </cell>
          <cell r="BY458">
            <v>-6439015.0700000003</v>
          </cell>
          <cell r="BZ458">
            <v>-6469029.6699999999</v>
          </cell>
          <cell r="CA458">
            <v>-4190606.35</v>
          </cell>
          <cell r="CB458">
            <v>-4035332.9</v>
          </cell>
          <cell r="CC458">
            <v>-5933594.4699999997</v>
          </cell>
          <cell r="CD458">
            <v>-6159324.5300000003</v>
          </cell>
          <cell r="CE458">
            <v>-4341049.33</v>
          </cell>
          <cell r="CF458">
            <v>-4764202.59</v>
          </cell>
          <cell r="CG458">
            <v>-4261479.07</v>
          </cell>
          <cell r="CH458">
            <v>-5311717.91</v>
          </cell>
          <cell r="CI458">
            <v>-5978031.46</v>
          </cell>
          <cell r="CJ458">
            <v>-7511735.0499999998</v>
          </cell>
          <cell r="CK458">
            <v>-7090544.5599999996</v>
          </cell>
          <cell r="CL458">
            <v>-7354314.4299999997</v>
          </cell>
          <cell r="CM458">
            <v>-5718480.1200000001</v>
          </cell>
          <cell r="CN458">
            <v>-5762979.1399999997</v>
          </cell>
          <cell r="CO458">
            <v>-5930014.8600000003</v>
          </cell>
          <cell r="CP458">
            <v>-6966959.5300000003</v>
          </cell>
          <cell r="CQ458">
            <v>-6597386.5499999998</v>
          </cell>
          <cell r="CR458">
            <v>-6704518.8700000001</v>
          </cell>
          <cell r="CS458">
            <v>-8903604.1400000006</v>
          </cell>
          <cell r="CT458">
            <v>-5392027.7199999997</v>
          </cell>
          <cell r="CU458">
            <v>-6273501.8099999996</v>
          </cell>
          <cell r="CV458">
            <v>-12802765.83</v>
          </cell>
          <cell r="CW458">
            <v>-9872115.5600000005</v>
          </cell>
          <cell r="CX458">
            <v>-10748985.01</v>
          </cell>
          <cell r="CY458">
            <v>-9930264.7300000004</v>
          </cell>
          <cell r="CZ458">
            <v>-17575008.010000002</v>
          </cell>
          <cell r="DA458">
            <v>-19539496.190000001</v>
          </cell>
          <cell r="DB458">
            <v>-18992886.870000001</v>
          </cell>
          <cell r="DC458">
            <v>-20927546.66</v>
          </cell>
          <cell r="DD458">
            <v>-14655119.08</v>
          </cell>
          <cell r="DE458">
            <v>-10809759.82</v>
          </cell>
          <cell r="DF458">
            <v>-7572255.8600000003</v>
          </cell>
          <cell r="DG458">
            <v>-11015079.560000001</v>
          </cell>
          <cell r="DH458">
            <v>-164441283.18000001</v>
          </cell>
        </row>
        <row r="459">
          <cell r="A459" t="str">
            <v>4830</v>
          </cell>
          <cell r="D459">
            <v>-165948.49</v>
          </cell>
          <cell r="E459">
            <v>-166882.10999999999</v>
          </cell>
          <cell r="F459">
            <v>-121309.54</v>
          </cell>
          <cell r="G459">
            <v>-112241.89</v>
          </cell>
          <cell r="H459">
            <v>-88055.74</v>
          </cell>
          <cell r="I459">
            <v>-113233.28</v>
          </cell>
          <cell r="J459">
            <v>-79618.36</v>
          </cell>
          <cell r="K459">
            <v>-75572.460000000006</v>
          </cell>
          <cell r="L459">
            <v>-81371.37</v>
          </cell>
          <cell r="M459">
            <v>-74627.62</v>
          </cell>
          <cell r="N459">
            <v>-87419.69</v>
          </cell>
          <cell r="O459">
            <v>-128527.09</v>
          </cell>
          <cell r="P459">
            <v>-159362.96</v>
          </cell>
          <cell r="Q459">
            <v>-166911.39000000001</v>
          </cell>
          <cell r="R459">
            <v>-145933.60999999999</v>
          </cell>
          <cell r="S459">
            <v>-93775.51</v>
          </cell>
          <cell r="T459">
            <v>-59842.21</v>
          </cell>
          <cell r="U459">
            <v>-64270.78</v>
          </cell>
          <cell r="V459">
            <v>-64779.32</v>
          </cell>
          <cell r="W459">
            <v>-112866.18</v>
          </cell>
          <cell r="X459">
            <v>-72812.73</v>
          </cell>
          <cell r="Y459">
            <v>-91536.78</v>
          </cell>
          <cell r="Z459">
            <v>-81435.16</v>
          </cell>
          <cell r="AA459">
            <v>-104209.01</v>
          </cell>
          <cell r="AB459">
            <v>-156894.09</v>
          </cell>
          <cell r="AC459">
            <v>-191571.76</v>
          </cell>
          <cell r="AD459">
            <v>-135848.59</v>
          </cell>
          <cell r="AE459">
            <v>-126080.26</v>
          </cell>
          <cell r="AF459">
            <v>-113589.87</v>
          </cell>
          <cell r="AG459">
            <v>-83154.490000000005</v>
          </cell>
          <cell r="AH459">
            <v>-75330.259999999995</v>
          </cell>
          <cell r="AI459">
            <v>-91408.17</v>
          </cell>
          <cell r="AJ459">
            <v>-92050.96</v>
          </cell>
          <cell r="AK459">
            <v>-114235.31</v>
          </cell>
          <cell r="AL459">
            <v>-85939.91</v>
          </cell>
          <cell r="AM459">
            <v>-87662.22</v>
          </cell>
          <cell r="AN459">
            <v>-198565.1</v>
          </cell>
          <cell r="AO459">
            <v>-31129.7</v>
          </cell>
          <cell r="AP459">
            <v>-179902.62</v>
          </cell>
          <cell r="AQ459">
            <v>-80670.740000000005</v>
          </cell>
          <cell r="AR459">
            <v>-80640.210000000006</v>
          </cell>
          <cell r="AS459">
            <v>-75047.81</v>
          </cell>
          <cell r="AT459">
            <v>-163265.99</v>
          </cell>
          <cell r="AU459">
            <v>214237.54</v>
          </cell>
          <cell r="AV459">
            <v>-325184.90999999997</v>
          </cell>
          <cell r="AW459">
            <v>-86920.65</v>
          </cell>
          <cell r="AX459">
            <v>-125341.17</v>
          </cell>
          <cell r="AY459">
            <v>-149230.22</v>
          </cell>
          <cell r="AZ459">
            <v>-288733.65000000002</v>
          </cell>
          <cell r="BA459">
            <v>-204535.92</v>
          </cell>
          <cell r="BB459">
            <v>-119266.63</v>
          </cell>
          <cell r="BC459">
            <v>-150137.54</v>
          </cell>
          <cell r="BD459">
            <v>-115486.59</v>
          </cell>
          <cell r="BE459">
            <v>-103906.31</v>
          </cell>
          <cell r="BF459">
            <v>-89116.34</v>
          </cell>
          <cell r="BG459">
            <v>-29335.15</v>
          </cell>
          <cell r="BH459">
            <v>-67705.3</v>
          </cell>
          <cell r="BI459">
            <v>-63543.24</v>
          </cell>
          <cell r="BJ459">
            <v>-28996.27</v>
          </cell>
          <cell r="BK459">
            <v>-252207.23</v>
          </cell>
          <cell r="BL459">
            <v>-161211.5</v>
          </cell>
          <cell r="BM459">
            <v>-182769.23</v>
          </cell>
          <cell r="BN459">
            <v>-112509.57</v>
          </cell>
          <cell r="BO459">
            <v>-113299.19</v>
          </cell>
          <cell r="BP459">
            <v>-95702.66</v>
          </cell>
          <cell r="BQ459">
            <v>-82360.14</v>
          </cell>
          <cell r="BR459">
            <v>-76542.11</v>
          </cell>
          <cell r="BS459">
            <v>-64481.71</v>
          </cell>
          <cell r="BT459">
            <v>-88937.27</v>
          </cell>
          <cell r="BU459">
            <v>-72548.789999999994</v>
          </cell>
          <cell r="BV459">
            <v>-87238.74</v>
          </cell>
          <cell r="BW459">
            <v>-306546.28999999998</v>
          </cell>
          <cell r="BX459">
            <v>-188425.51</v>
          </cell>
          <cell r="BY459">
            <v>-234475.11</v>
          </cell>
          <cell r="BZ459">
            <v>-175939.58</v>
          </cell>
          <cell r="CA459">
            <v>-114337.92</v>
          </cell>
          <cell r="CB459">
            <v>-116862.89</v>
          </cell>
          <cell r="CC459">
            <v>-105380.95</v>
          </cell>
          <cell r="CD459">
            <v>-102841.73</v>
          </cell>
          <cell r="CE459">
            <v>-104990.64</v>
          </cell>
          <cell r="CF459">
            <v>-116284.89</v>
          </cell>
          <cell r="CG459">
            <v>-130430.25</v>
          </cell>
          <cell r="CH459">
            <v>-177622.98</v>
          </cell>
          <cell r="CI459">
            <v>-223183.14</v>
          </cell>
          <cell r="CJ459">
            <v>-349770.53</v>
          </cell>
          <cell r="CK459">
            <v>-322502.15999999997</v>
          </cell>
          <cell r="CL459">
            <v>-230557.2</v>
          </cell>
          <cell r="CM459">
            <v>-285136.31</v>
          </cell>
          <cell r="CN459">
            <v>-230476.35</v>
          </cell>
          <cell r="CO459">
            <v>-183791.69</v>
          </cell>
          <cell r="CP459">
            <v>-140282.75</v>
          </cell>
          <cell r="CQ459">
            <v>-241856.37</v>
          </cell>
          <cell r="CR459">
            <v>-202987.19</v>
          </cell>
          <cell r="CS459">
            <v>-206737.67</v>
          </cell>
          <cell r="CT459">
            <v>-221283.58</v>
          </cell>
          <cell r="CU459">
            <v>-251478.85</v>
          </cell>
          <cell r="CV459">
            <v>-291023.95</v>
          </cell>
          <cell r="CW459">
            <v>-617714.02</v>
          </cell>
          <cell r="CX459">
            <v>-295585.51</v>
          </cell>
          <cell r="CY459">
            <v>-305091.51</v>
          </cell>
          <cell r="CZ459">
            <v>-228086.82</v>
          </cell>
          <cell r="DA459">
            <v>-215889.52</v>
          </cell>
          <cell r="DB459">
            <v>-159402.96</v>
          </cell>
          <cell r="DC459">
            <v>-209619.7</v>
          </cell>
          <cell r="DD459">
            <v>-234697.91</v>
          </cell>
          <cell r="DE459">
            <v>-279372.07</v>
          </cell>
          <cell r="DF459">
            <v>-252397.56</v>
          </cell>
          <cell r="DG459">
            <v>-248077.57</v>
          </cell>
          <cell r="DH459">
            <v>-3336959.1</v>
          </cell>
        </row>
        <row r="460">
          <cell r="A460" t="str">
            <v>4870</v>
          </cell>
          <cell r="D460">
            <v>-87247.01</v>
          </cell>
          <cell r="E460">
            <v>-96255.7</v>
          </cell>
          <cell r="F460">
            <v>-92056.61</v>
          </cell>
          <cell r="G460">
            <v>-89213.83</v>
          </cell>
          <cell r="H460">
            <v>-77492.5</v>
          </cell>
          <cell r="I460">
            <v>-61370.03</v>
          </cell>
          <cell r="J460">
            <v>-83041.899999999994</v>
          </cell>
          <cell r="K460">
            <v>-63714.47</v>
          </cell>
          <cell r="L460">
            <v>-66933.72</v>
          </cell>
          <cell r="M460">
            <v>-65930.600000000006</v>
          </cell>
          <cell r="N460">
            <v>-55364.42</v>
          </cell>
          <cell r="O460">
            <v>-84632.61</v>
          </cell>
          <cell r="P460">
            <v>-87423.9</v>
          </cell>
          <cell r="Q460">
            <v>-89152.35</v>
          </cell>
          <cell r="R460">
            <v>-84691.04</v>
          </cell>
          <cell r="S460">
            <v>-80392.259999999995</v>
          </cell>
          <cell r="T460">
            <v>-72940.820000000007</v>
          </cell>
          <cell r="U460">
            <v>-61978.98</v>
          </cell>
          <cell r="V460">
            <v>-67374.3</v>
          </cell>
          <cell r="W460">
            <v>-65541.210000000006</v>
          </cell>
          <cell r="X460">
            <v>-64531.85</v>
          </cell>
          <cell r="Y460">
            <v>-67554.8</v>
          </cell>
          <cell r="Z460">
            <v>-55547.86</v>
          </cell>
          <cell r="AA460">
            <v>-85259.37</v>
          </cell>
          <cell r="AB460">
            <v>-83397.03</v>
          </cell>
          <cell r="AC460">
            <v>-83231.009999999995</v>
          </cell>
          <cell r="AD460">
            <v>-101891.83</v>
          </cell>
          <cell r="AE460">
            <v>-82907.240000000005</v>
          </cell>
          <cell r="AF460">
            <v>-74399.78</v>
          </cell>
          <cell r="AG460">
            <v>-88287.29</v>
          </cell>
          <cell r="AH460">
            <v>-71623.55</v>
          </cell>
          <cell r="AI460">
            <v>-67213.05</v>
          </cell>
          <cell r="AJ460">
            <v>-66750.03</v>
          </cell>
          <cell r="AK460">
            <v>-72295.350000000006</v>
          </cell>
          <cell r="AL460">
            <v>-72659.210000000006</v>
          </cell>
          <cell r="AM460">
            <v>-77624.399999999994</v>
          </cell>
          <cell r="AN460">
            <v>-59316.46</v>
          </cell>
          <cell r="AO460">
            <v>-151333.35999999999</v>
          </cell>
          <cell r="AP460">
            <v>-128907.76</v>
          </cell>
          <cell r="AQ460">
            <v>-124259.41</v>
          </cell>
          <cell r="AR460">
            <v>-124490.84</v>
          </cell>
          <cell r="AS460">
            <v>-113303.96</v>
          </cell>
          <cell r="AT460">
            <v>-96809.73</v>
          </cell>
          <cell r="AU460">
            <v>-85436.47</v>
          </cell>
          <cell r="AV460">
            <v>-58089.18</v>
          </cell>
          <cell r="AW460">
            <v>-87568.86</v>
          </cell>
          <cell r="AX460">
            <v>-92341.759999999995</v>
          </cell>
          <cell r="AY460">
            <v>-100712.94</v>
          </cell>
          <cell r="AZ460">
            <v>-136915.21</v>
          </cell>
          <cell r="BA460">
            <v>-152350.26</v>
          </cell>
          <cell r="BB460">
            <v>-135306.41</v>
          </cell>
          <cell r="BC460">
            <v>-120362.92</v>
          </cell>
          <cell r="BD460">
            <v>-107479.67999999999</v>
          </cell>
          <cell r="BE460">
            <v>-108178.03</v>
          </cell>
          <cell r="BF460">
            <v>-81021.48</v>
          </cell>
          <cell r="BG460">
            <v>-93145.66</v>
          </cell>
          <cell r="BH460">
            <v>-93797.8</v>
          </cell>
          <cell r="BI460">
            <v>-92860.57</v>
          </cell>
          <cell r="BJ460">
            <v>-92318.16</v>
          </cell>
          <cell r="BK460">
            <v>-102418.29</v>
          </cell>
          <cell r="BL460">
            <v>-122474.71</v>
          </cell>
          <cell r="BM460">
            <v>-104745.17</v>
          </cell>
          <cell r="BN460">
            <v>-101191.82</v>
          </cell>
          <cell r="BO460">
            <v>-90192.52</v>
          </cell>
          <cell r="BP460">
            <v>-95436.56</v>
          </cell>
          <cell r="BQ460">
            <v>-81788.81</v>
          </cell>
          <cell r="BR460">
            <v>-79095.179999999993</v>
          </cell>
          <cell r="BS460">
            <v>-82562.100000000006</v>
          </cell>
          <cell r="BT460">
            <v>-80215.199999999997</v>
          </cell>
          <cell r="BU460">
            <v>-78789.2</v>
          </cell>
          <cell r="BV460">
            <v>-75675.8</v>
          </cell>
          <cell r="BW460">
            <v>-86066.92</v>
          </cell>
          <cell r="BX460">
            <v>-109351.41</v>
          </cell>
          <cell r="BY460">
            <v>-96150.71</v>
          </cell>
          <cell r="BZ460">
            <v>-95243.34</v>
          </cell>
          <cell r="CA460">
            <v>-125154.01</v>
          </cell>
          <cell r="CB460">
            <v>-125404.42</v>
          </cell>
          <cell r="CC460">
            <v>-118230.31</v>
          </cell>
          <cell r="CD460">
            <v>-111280.65</v>
          </cell>
          <cell r="CE460">
            <v>-107101.89</v>
          </cell>
          <cell r="CF460">
            <v>-77071.8</v>
          </cell>
          <cell r="CG460">
            <v>-100031.24</v>
          </cell>
          <cell r="CH460">
            <v>-96374.31</v>
          </cell>
          <cell r="CI460">
            <v>-96654.77</v>
          </cell>
          <cell r="CJ460">
            <v>-119228.77</v>
          </cell>
          <cell r="CK460">
            <v>-130606.05</v>
          </cell>
          <cell r="CL460">
            <v>-133259.43</v>
          </cell>
          <cell r="CM460">
            <v>-103588.7</v>
          </cell>
          <cell r="CN460">
            <v>-116765.87</v>
          </cell>
          <cell r="CO460">
            <v>-114304.89</v>
          </cell>
          <cell r="CP460">
            <v>-88348.87</v>
          </cell>
          <cell r="CQ460">
            <v>-97463.65</v>
          </cell>
          <cell r="CR460">
            <v>-98512.4</v>
          </cell>
          <cell r="CS460">
            <v>-86061.9</v>
          </cell>
          <cell r="CT460">
            <v>-95425.25</v>
          </cell>
          <cell r="CU460">
            <v>-112683.27</v>
          </cell>
          <cell r="CV460">
            <v>-129742.77</v>
          </cell>
          <cell r="CW460">
            <v>-126915.26</v>
          </cell>
          <cell r="CX460">
            <v>-129695.91</v>
          </cell>
          <cell r="CY460">
            <v>-110652.56</v>
          </cell>
          <cell r="CZ460">
            <v>-113565.37</v>
          </cell>
          <cell r="DA460">
            <v>-112833.55</v>
          </cell>
          <cell r="DB460">
            <v>-108117.42</v>
          </cell>
          <cell r="DC460">
            <v>-105940.48</v>
          </cell>
          <cell r="DD460">
            <v>-117793.88</v>
          </cell>
          <cell r="DE460">
            <v>-111403.97</v>
          </cell>
          <cell r="DF460">
            <v>-118920.17</v>
          </cell>
          <cell r="DG460">
            <v>-118443.07</v>
          </cell>
          <cell r="DH460">
            <v>-1404024.4100000001</v>
          </cell>
        </row>
        <row r="461">
          <cell r="A461" t="str">
            <v>4880</v>
          </cell>
          <cell r="D461">
            <v>-421018.33</v>
          </cell>
          <cell r="E461">
            <v>-475784.35</v>
          </cell>
          <cell r="F461">
            <v>-471211.45</v>
          </cell>
          <cell r="G461">
            <v>-437964.28</v>
          </cell>
          <cell r="H461">
            <v>-424133.32</v>
          </cell>
          <cell r="I461">
            <v>-470602.64</v>
          </cell>
          <cell r="J461">
            <v>-426526.2</v>
          </cell>
          <cell r="K461">
            <v>-528085.31999999995</v>
          </cell>
          <cell r="L461">
            <v>-442374.06</v>
          </cell>
          <cell r="M461">
            <v>-479358.86</v>
          </cell>
          <cell r="N461">
            <v>-443372.39</v>
          </cell>
          <cell r="O461">
            <v>-416299.14</v>
          </cell>
          <cell r="P461">
            <v>-439447.39</v>
          </cell>
          <cell r="Q461">
            <v>-469614.67</v>
          </cell>
          <cell r="R461">
            <v>-449307.58</v>
          </cell>
          <cell r="S461">
            <v>-421529.28</v>
          </cell>
          <cell r="T461">
            <v>-449271.15</v>
          </cell>
          <cell r="U461">
            <v>-442903.77</v>
          </cell>
          <cell r="V461">
            <v>-432348.32</v>
          </cell>
          <cell r="W461">
            <v>-442745.94</v>
          </cell>
          <cell r="X461">
            <v>-407370.4</v>
          </cell>
          <cell r="Y461">
            <v>-435476.32</v>
          </cell>
          <cell r="Z461">
            <v>-421043.35</v>
          </cell>
          <cell r="AA461">
            <v>-400128.89</v>
          </cell>
          <cell r="AB461">
            <v>-409264.1</v>
          </cell>
          <cell r="AC461">
            <v>-423491.46</v>
          </cell>
          <cell r="AD461">
            <v>-461614.33</v>
          </cell>
          <cell r="AE461">
            <v>-424678.35</v>
          </cell>
          <cell r="AF461">
            <v>-331902.67</v>
          </cell>
          <cell r="AG461">
            <v>-419044.02</v>
          </cell>
          <cell r="AH461">
            <v>-434678.74</v>
          </cell>
          <cell r="AI461">
            <v>-433429.26</v>
          </cell>
          <cell r="AJ461">
            <v>-399914.12</v>
          </cell>
          <cell r="AK461">
            <v>-399405.89</v>
          </cell>
          <cell r="AL461">
            <v>-432082.57</v>
          </cell>
          <cell r="AM461">
            <v>-390446.5</v>
          </cell>
          <cell r="AN461">
            <v>-243411.03</v>
          </cell>
          <cell r="AO461">
            <v>-294177.68</v>
          </cell>
          <cell r="AP461">
            <v>-413394.35</v>
          </cell>
          <cell r="AQ461">
            <v>-388846</v>
          </cell>
          <cell r="AR461">
            <v>-467178.26</v>
          </cell>
          <cell r="AS461">
            <v>-476988.71</v>
          </cell>
          <cell r="AT461">
            <v>-423292.12</v>
          </cell>
          <cell r="AU461">
            <v>-456877.53</v>
          </cell>
          <cell r="AV461">
            <v>-301884.12</v>
          </cell>
          <cell r="AW461">
            <v>-413744.41</v>
          </cell>
          <cell r="AX461">
            <v>-409031.17</v>
          </cell>
          <cell r="AY461">
            <v>-391010.03</v>
          </cell>
          <cell r="AZ461">
            <v>-412890.3</v>
          </cell>
          <cell r="BA461">
            <v>-408954.67</v>
          </cell>
          <cell r="BB461">
            <v>-463208.14</v>
          </cell>
          <cell r="BC461">
            <v>-445235.3</v>
          </cell>
          <cell r="BD461">
            <v>-446894.71</v>
          </cell>
          <cell r="BE461">
            <v>-456228.17</v>
          </cell>
          <cell r="BF461">
            <v>-458310.96</v>
          </cell>
          <cell r="BG461">
            <v>-486360.24</v>
          </cell>
          <cell r="BH461">
            <v>-383708.17</v>
          </cell>
          <cell r="BI461">
            <v>-384461.23</v>
          </cell>
          <cell r="BJ461">
            <v>-442561.62</v>
          </cell>
          <cell r="BK461">
            <v>-393228.36</v>
          </cell>
          <cell r="BL461">
            <v>-472429.47</v>
          </cell>
          <cell r="BM461">
            <v>-482821.29</v>
          </cell>
          <cell r="BN461">
            <v>-506963.34</v>
          </cell>
          <cell r="BO461">
            <v>-466686.79</v>
          </cell>
          <cell r="BP461">
            <v>-499074.3</v>
          </cell>
          <cell r="BQ461">
            <v>-464094.94</v>
          </cell>
          <cell r="BR461">
            <v>-482937.84</v>
          </cell>
          <cell r="BS461">
            <v>-487254.71</v>
          </cell>
          <cell r="BT461">
            <v>-417003.1</v>
          </cell>
          <cell r="BU461">
            <v>-479483.97</v>
          </cell>
          <cell r="BV461">
            <v>-436085.34</v>
          </cell>
          <cell r="BW461">
            <v>-435804.28</v>
          </cell>
          <cell r="BX461">
            <v>-423268.57</v>
          </cell>
          <cell r="BY461">
            <v>-439073.36</v>
          </cell>
          <cell r="BZ461">
            <v>-426433.48</v>
          </cell>
          <cell r="CA461">
            <v>-335965.89</v>
          </cell>
          <cell r="CB461">
            <v>-322862.14</v>
          </cell>
          <cell r="CC461">
            <v>-374424.28</v>
          </cell>
          <cell r="CD461">
            <v>-404832.37</v>
          </cell>
          <cell r="CE461">
            <v>-376759.39</v>
          </cell>
          <cell r="CF461">
            <v>-405163.74</v>
          </cell>
          <cell r="CG461">
            <v>-444455.97</v>
          </cell>
          <cell r="CH461">
            <v>-397134.71</v>
          </cell>
          <cell r="CI461">
            <v>-447280.97</v>
          </cell>
          <cell r="CJ461">
            <v>-462238.48</v>
          </cell>
          <cell r="CK461">
            <v>-475986.49</v>
          </cell>
          <cell r="CL461">
            <v>-163632.63</v>
          </cell>
          <cell r="CM461">
            <v>-501173.7</v>
          </cell>
          <cell r="CN461">
            <v>-430484.34</v>
          </cell>
          <cell r="CO461">
            <v>-551564.22</v>
          </cell>
          <cell r="CP461">
            <v>-494371.1</v>
          </cell>
          <cell r="CQ461">
            <v>-534344.15</v>
          </cell>
          <cell r="CR461">
            <v>-504454.05</v>
          </cell>
          <cell r="CS461">
            <v>-524164.94</v>
          </cell>
          <cell r="CT461">
            <v>-503053.13</v>
          </cell>
          <cell r="CU461">
            <v>-494807.79</v>
          </cell>
          <cell r="CV461">
            <v>-487715.09</v>
          </cell>
          <cell r="CW461">
            <v>-540252.21</v>
          </cell>
          <cell r="CX461">
            <v>-591709.68000000005</v>
          </cell>
          <cell r="CY461">
            <v>-565165.56999999995</v>
          </cell>
          <cell r="CZ461">
            <v>-545648.17000000004</v>
          </cell>
          <cell r="DA461">
            <v>-589885.56999999995</v>
          </cell>
          <cell r="DB461">
            <v>-563214.78</v>
          </cell>
          <cell r="DC461">
            <v>-580498.67000000004</v>
          </cell>
          <cell r="DD461">
            <v>-525588.42000000004</v>
          </cell>
          <cell r="DE461">
            <v>-580850.26</v>
          </cell>
          <cell r="DF461">
            <v>-587255.47</v>
          </cell>
          <cell r="DG461">
            <v>-541362.14</v>
          </cell>
          <cell r="DH461">
            <v>-6699146.0299999984</v>
          </cell>
        </row>
        <row r="462">
          <cell r="A462" t="str">
            <v>4893</v>
          </cell>
          <cell r="D462">
            <v>-11943251.99</v>
          </cell>
          <cell r="E462">
            <v>-10535694.85</v>
          </cell>
          <cell r="F462">
            <v>-10405118.189999999</v>
          </cell>
          <cell r="G462">
            <v>-9980002.3599999994</v>
          </cell>
          <cell r="H462">
            <v>-9022179.2599999998</v>
          </cell>
          <cell r="I462">
            <v>-9318419.4700000007</v>
          </cell>
          <cell r="J462">
            <v>-8772751.5</v>
          </cell>
          <cell r="K462">
            <v>-8512452.6300000008</v>
          </cell>
          <cell r="L462">
            <v>-9075950.3399999999</v>
          </cell>
          <cell r="M462">
            <v>-9025448.5399999991</v>
          </cell>
          <cell r="N462">
            <v>-9509783.5299999993</v>
          </cell>
          <cell r="O462">
            <v>-10406120.18</v>
          </cell>
          <cell r="P462">
            <v>-11819909.710000001</v>
          </cell>
          <cell r="Q462">
            <v>-11140707.640000001</v>
          </cell>
          <cell r="R462">
            <v>-11365728.9</v>
          </cell>
          <cell r="S462">
            <v>-9904956.1400000006</v>
          </cell>
          <cell r="T462">
            <v>-8871982.8300000001</v>
          </cell>
          <cell r="U462">
            <v>-9680302.2699999996</v>
          </cell>
          <cell r="V462">
            <v>-9090107.0899999999</v>
          </cell>
          <cell r="W462">
            <v>-9414621.6999999993</v>
          </cell>
          <cell r="X462">
            <v>-9058762.7200000007</v>
          </cell>
          <cell r="Y462">
            <v>-9403565.7400000002</v>
          </cell>
          <cell r="Z462">
            <v>-9662872.7799999993</v>
          </cell>
          <cell r="AA462">
            <v>-10843337.43</v>
          </cell>
          <cell r="AB462">
            <v>-12585990.960000001</v>
          </cell>
          <cell r="AC462">
            <v>-12141245.85</v>
          </cell>
          <cell r="AD462">
            <v>-11341708.26</v>
          </cell>
          <cell r="AE462">
            <v>-10204189.99</v>
          </cell>
          <cell r="AF462">
            <v>-9205342.7400000002</v>
          </cell>
          <cell r="AG462">
            <v>-9869249.0800000001</v>
          </cell>
          <cell r="AH462">
            <v>-9837700.5299999993</v>
          </cell>
          <cell r="AI462">
            <v>-9134831.5299999993</v>
          </cell>
          <cell r="AJ462">
            <v>-9747761.8599999994</v>
          </cell>
          <cell r="AK462">
            <v>-9423413.6300000008</v>
          </cell>
          <cell r="AL462">
            <v>-10353763.59</v>
          </cell>
          <cell r="AM462">
            <v>-11479965.49</v>
          </cell>
          <cell r="AN462">
            <v>-12140407.439999999</v>
          </cell>
          <cell r="AO462">
            <v>-10869644.689999999</v>
          </cell>
          <cell r="AP462">
            <v>-11213314.75</v>
          </cell>
          <cell r="AQ462">
            <v>-11244187.710000001</v>
          </cell>
          <cell r="AR462">
            <v>-10297020.970000001</v>
          </cell>
          <cell r="AS462">
            <v>-10046835.949999999</v>
          </cell>
          <cell r="AT462">
            <v>-9682893.75</v>
          </cell>
          <cell r="AU462">
            <v>-9801278.1999999993</v>
          </cell>
          <cell r="AV462">
            <v>-9992110.3200000003</v>
          </cell>
          <cell r="AW462">
            <v>-9514300.2899999991</v>
          </cell>
          <cell r="AX462">
            <v>-10419917.73</v>
          </cell>
          <cell r="AY462">
            <v>-11878946.57</v>
          </cell>
          <cell r="AZ462">
            <v>-13550003.609999999</v>
          </cell>
          <cell r="BA462">
            <v>-11770843.25</v>
          </cell>
          <cell r="BB462">
            <v>-11442781.119999999</v>
          </cell>
          <cell r="BC462">
            <v>-12168870.01</v>
          </cell>
          <cell r="BD462">
            <v>-10438936.16</v>
          </cell>
          <cell r="BE462">
            <v>-10476016.75</v>
          </cell>
          <cell r="BF462">
            <v>-10212484.289999999</v>
          </cell>
          <cell r="BG462">
            <v>-9872127.1799999997</v>
          </cell>
          <cell r="BH462">
            <v>-10431592.560000001</v>
          </cell>
          <cell r="BI462">
            <v>-9919669.3599999994</v>
          </cell>
          <cell r="BJ462">
            <v>-10599696.67</v>
          </cell>
          <cell r="BK462">
            <v>-11963777.710000001</v>
          </cell>
          <cell r="BL462">
            <v>-12357374.34</v>
          </cell>
          <cell r="BM462">
            <v>-11134893.68</v>
          </cell>
          <cell r="BN462">
            <v>-12250981.83</v>
          </cell>
          <cell r="BO462">
            <v>-10795399.65</v>
          </cell>
          <cell r="BP462">
            <v>-10834442.310000001</v>
          </cell>
          <cell r="BQ462">
            <v>-9817906.3200000003</v>
          </cell>
          <cell r="BR462">
            <v>-9654589.8100000005</v>
          </cell>
          <cell r="BS462">
            <v>-9648147.1799999997</v>
          </cell>
          <cell r="BT462">
            <v>-9890476.5999999996</v>
          </cell>
          <cell r="BU462">
            <v>-9912051.3599999994</v>
          </cell>
          <cell r="BV462">
            <v>-11241012.220000001</v>
          </cell>
          <cell r="BW462">
            <v>-11551435.51</v>
          </cell>
          <cell r="BX462">
            <v>-12667609.789999999</v>
          </cell>
          <cell r="BY462">
            <v>-11769647.039999999</v>
          </cell>
          <cell r="BZ462">
            <v>-11410547.52</v>
          </cell>
          <cell r="CA462">
            <v>-8805524.9199999999</v>
          </cell>
          <cell r="CB462">
            <v>-8621919.9199999999</v>
          </cell>
          <cell r="CC462">
            <v>-9427528.4800000004</v>
          </cell>
          <cell r="CD462">
            <v>-9195331.5399999991</v>
          </cell>
          <cell r="CE462">
            <v>-9283169.9600000009</v>
          </cell>
          <cell r="CF462">
            <v>-9174239.25</v>
          </cell>
          <cell r="CG462">
            <v>-9704281.8599999994</v>
          </cell>
          <cell r="CH462">
            <v>-10364671.24</v>
          </cell>
          <cell r="CI462">
            <v>-11738883.960000001</v>
          </cell>
          <cell r="CJ462">
            <v>-15958239.76</v>
          </cell>
          <cell r="CK462">
            <v>-13425716.07</v>
          </cell>
          <cell r="CL462">
            <v>-14168557.68</v>
          </cell>
          <cell r="CM462">
            <v>-14182676.550000001</v>
          </cell>
          <cell r="CN462">
            <v>-12699279.65</v>
          </cell>
          <cell r="CO462">
            <v>-12576186.130000001</v>
          </cell>
          <cell r="CP462">
            <v>-12501449.189999999</v>
          </cell>
          <cell r="CQ462">
            <v>-11703410.25</v>
          </cell>
          <cell r="CR462">
            <v>-12284261.43</v>
          </cell>
          <cell r="CS462">
            <v>-12188227.25</v>
          </cell>
          <cell r="CT462">
            <v>-13099671.1</v>
          </cell>
          <cell r="CU462">
            <v>-14977732.189999999</v>
          </cell>
          <cell r="CV462">
            <v>-15892098.189999999</v>
          </cell>
          <cell r="CW462">
            <v>-14288945.220000001</v>
          </cell>
          <cell r="CX462">
            <v>-14384547.09</v>
          </cell>
          <cell r="CY462">
            <v>-14169633.029999999</v>
          </cell>
          <cell r="CZ462">
            <v>-13891210.220000001</v>
          </cell>
          <cell r="DA462">
            <v>-12623833.01</v>
          </cell>
          <cell r="DB462">
            <v>-12490757.050000001</v>
          </cell>
          <cell r="DC462">
            <v>-12150798.949999999</v>
          </cell>
          <cell r="DD462">
            <v>-12108567.810000001</v>
          </cell>
          <cell r="DE462">
            <v>-13874608.75</v>
          </cell>
          <cell r="DF462">
            <v>-13809819.4</v>
          </cell>
          <cell r="DG462">
            <v>-15287145.449999999</v>
          </cell>
          <cell r="DH462">
            <v>-164971964.16999999</v>
          </cell>
        </row>
        <row r="463">
          <cell r="A463" t="str">
            <v>4930</v>
          </cell>
          <cell r="D463">
            <v>-28854.44</v>
          </cell>
          <cell r="E463">
            <v>-27854.44</v>
          </cell>
          <cell r="F463">
            <v>-25854.44</v>
          </cell>
          <cell r="G463">
            <v>-100541.83</v>
          </cell>
          <cell r="H463">
            <v>-25854.44</v>
          </cell>
          <cell r="I463">
            <v>-25854.44</v>
          </cell>
          <cell r="J463">
            <v>-28854.44</v>
          </cell>
          <cell r="K463">
            <v>-25854.44</v>
          </cell>
          <cell r="L463">
            <v>-25854.44</v>
          </cell>
          <cell r="M463">
            <v>-25854.44</v>
          </cell>
          <cell r="N463">
            <v>-25854.44</v>
          </cell>
          <cell r="O463">
            <v>-28854.44</v>
          </cell>
          <cell r="P463">
            <v>-26138.27</v>
          </cell>
          <cell r="Q463">
            <v>-27959.439999999999</v>
          </cell>
          <cell r="R463">
            <v>-25954.44</v>
          </cell>
          <cell r="S463">
            <v>-25854.44</v>
          </cell>
          <cell r="T463">
            <v>-99736.98</v>
          </cell>
          <cell r="U463">
            <v>-28954.44</v>
          </cell>
          <cell r="V463">
            <v>-25954.44</v>
          </cell>
          <cell r="W463">
            <v>-25797.64</v>
          </cell>
          <cell r="X463">
            <v>-19784.2</v>
          </cell>
          <cell r="Y463">
            <v>-19784.2</v>
          </cell>
          <cell r="Z463">
            <v>-19784.2</v>
          </cell>
          <cell r="AA463">
            <v>-19784.2</v>
          </cell>
          <cell r="AB463">
            <v>-22588.06</v>
          </cell>
          <cell r="AC463">
            <v>-19784.2</v>
          </cell>
          <cell r="AD463">
            <v>-19784.2</v>
          </cell>
          <cell r="AE463">
            <v>-28123.84</v>
          </cell>
          <cell r="AF463">
            <v>-103826.86</v>
          </cell>
          <cell r="AG463">
            <v>-19784.2</v>
          </cell>
          <cell r="AH463">
            <v>-29522.55</v>
          </cell>
          <cell r="AI463">
            <v>-26718.82</v>
          </cell>
          <cell r="AJ463">
            <v>-26718.82</v>
          </cell>
          <cell r="AK463">
            <v>-26718.82</v>
          </cell>
          <cell r="AL463">
            <v>-29522.560000000001</v>
          </cell>
          <cell r="AM463">
            <v>-26718.83</v>
          </cell>
          <cell r="AN463">
            <v>-27918.83</v>
          </cell>
          <cell r="AO463">
            <v>-28718.83</v>
          </cell>
          <cell r="AP463">
            <v>-30690.080000000002</v>
          </cell>
          <cell r="AQ463">
            <v>-26718.83</v>
          </cell>
          <cell r="AR463">
            <v>-110589.11</v>
          </cell>
          <cell r="AS463">
            <v>-26718.83</v>
          </cell>
          <cell r="AT463">
            <v>-22494.26</v>
          </cell>
          <cell r="AU463">
            <v>-19690.53</v>
          </cell>
          <cell r="AV463">
            <v>-19690.53</v>
          </cell>
          <cell r="AW463">
            <v>-19690.53</v>
          </cell>
          <cell r="AX463">
            <v>-22494.26</v>
          </cell>
          <cell r="AY463">
            <v>-19690.53</v>
          </cell>
          <cell r="AZ463">
            <v>-19690.53</v>
          </cell>
          <cell r="BA463">
            <v>-19690.53</v>
          </cell>
          <cell r="BB463">
            <v>-20048.310000000001</v>
          </cell>
          <cell r="BC463">
            <v>-19690.53</v>
          </cell>
          <cell r="BD463">
            <v>-103196.03</v>
          </cell>
          <cell r="BE463">
            <v>-22494.26</v>
          </cell>
          <cell r="BF463">
            <v>-19690.53</v>
          </cell>
          <cell r="BG463">
            <v>-19690.53</v>
          </cell>
          <cell r="BH463">
            <v>-19690.53</v>
          </cell>
          <cell r="BI463">
            <v>-19690.53</v>
          </cell>
          <cell r="BJ463">
            <v>-19690.53</v>
          </cell>
          <cell r="BK463">
            <v>-19690.53</v>
          </cell>
          <cell r="BL463">
            <v>-12637.26</v>
          </cell>
          <cell r="BM463">
            <v>-9684</v>
          </cell>
          <cell r="BN463">
            <v>-7889.79</v>
          </cell>
          <cell r="BO463">
            <v>-7684</v>
          </cell>
          <cell r="BP463">
            <v>-7684</v>
          </cell>
          <cell r="BQ463">
            <v>-109746.03</v>
          </cell>
          <cell r="BR463">
            <v>-7684</v>
          </cell>
          <cell r="BS463">
            <v>-11635.46</v>
          </cell>
          <cell r="BT463">
            <v>-7684</v>
          </cell>
          <cell r="BU463">
            <v>-7684</v>
          </cell>
          <cell r="BV463">
            <v>-7684</v>
          </cell>
          <cell r="BW463">
            <v>-7684</v>
          </cell>
          <cell r="BX463">
            <v>-10487.73</v>
          </cell>
          <cell r="BY463">
            <v>-9684</v>
          </cell>
          <cell r="BZ463">
            <v>-7684</v>
          </cell>
          <cell r="CA463">
            <v>-7684</v>
          </cell>
          <cell r="CB463">
            <v>-114225.55</v>
          </cell>
          <cell r="CC463">
            <v>-7684</v>
          </cell>
          <cell r="CD463">
            <v>-10487.73</v>
          </cell>
          <cell r="CE463">
            <v>-7684</v>
          </cell>
          <cell r="CF463">
            <v>-7684</v>
          </cell>
          <cell r="CG463">
            <v>-7684</v>
          </cell>
          <cell r="CH463">
            <v>-7684</v>
          </cell>
          <cell r="CI463">
            <v>-7684</v>
          </cell>
          <cell r="CJ463">
            <v>-10487.73</v>
          </cell>
          <cell r="CK463">
            <v>-9684</v>
          </cell>
          <cell r="CL463">
            <v>-7684</v>
          </cell>
          <cell r="CM463">
            <v>-7684</v>
          </cell>
          <cell r="CN463">
            <v>-116215.81</v>
          </cell>
          <cell r="CO463">
            <v>-7684</v>
          </cell>
          <cell r="CP463">
            <v>-10487.74</v>
          </cell>
          <cell r="CQ463">
            <v>-7684</v>
          </cell>
          <cell r="CR463">
            <v>-7684</v>
          </cell>
          <cell r="CS463">
            <v>-7684</v>
          </cell>
          <cell r="CT463">
            <v>-7684</v>
          </cell>
          <cell r="CU463">
            <v>-7684</v>
          </cell>
          <cell r="CV463">
            <v>-10487.74</v>
          </cell>
          <cell r="CW463">
            <v>-9684</v>
          </cell>
          <cell r="CX463">
            <v>-7684</v>
          </cell>
          <cell r="CY463">
            <v>-7684</v>
          </cell>
          <cell r="CZ463">
            <v>-125480</v>
          </cell>
          <cell r="DA463">
            <v>-7684</v>
          </cell>
          <cell r="DB463">
            <v>-10487.74</v>
          </cell>
          <cell r="DC463">
            <v>-7684</v>
          </cell>
          <cell r="DD463">
            <v>-7684</v>
          </cell>
          <cell r="DE463">
            <v>-7684</v>
          </cell>
          <cell r="DF463">
            <v>-7684</v>
          </cell>
          <cell r="DG463">
            <v>-7684</v>
          </cell>
          <cell r="DH463">
            <v>-217611.47999999998</v>
          </cell>
        </row>
        <row r="464">
          <cell r="A464" t="str">
            <v>4950</v>
          </cell>
          <cell r="D464">
            <v>-4331727.76</v>
          </cell>
          <cell r="E464">
            <v>-5088541.9400000004</v>
          </cell>
          <cell r="F464">
            <v>-4839596.66</v>
          </cell>
          <cell r="G464">
            <v>-3370319.14</v>
          </cell>
          <cell r="H464">
            <v>-2792235.35</v>
          </cell>
          <cell r="I464">
            <v>-2677450.9700000002</v>
          </cell>
          <cell r="J464">
            <v>-2479842.3199999998</v>
          </cell>
          <cell r="K464">
            <v>-2343138.2400000002</v>
          </cell>
          <cell r="L464">
            <v>-2482034.56</v>
          </cell>
          <cell r="M464">
            <v>-2951548.24</v>
          </cell>
          <cell r="N464">
            <v>-2941154.39</v>
          </cell>
          <cell r="O464">
            <v>-3931951.7</v>
          </cell>
          <cell r="P464">
            <v>-4586536.8499999996</v>
          </cell>
          <cell r="Q464">
            <v>-4865614.3899999997</v>
          </cell>
          <cell r="R464">
            <v>-4895260.4800000004</v>
          </cell>
          <cell r="S464">
            <v>-3543651.96</v>
          </cell>
          <cell r="T464">
            <v>-2780710.77</v>
          </cell>
          <cell r="U464">
            <v>-2874032.88</v>
          </cell>
          <cell r="V464">
            <v>-3582661.22</v>
          </cell>
          <cell r="W464">
            <v>-2445385.94</v>
          </cell>
          <cell r="X464">
            <v>-2937118.23</v>
          </cell>
          <cell r="Y464">
            <v>-3085639.66</v>
          </cell>
          <cell r="Z464">
            <v>-3094127.28</v>
          </cell>
          <cell r="AA464">
            <v>-3634861.11</v>
          </cell>
          <cell r="AB464">
            <v>-4366929.8</v>
          </cell>
          <cell r="AC464">
            <v>-5756465.5</v>
          </cell>
          <cell r="AD464">
            <v>-4318152.78</v>
          </cell>
          <cell r="AE464">
            <v>-3392567.99</v>
          </cell>
          <cell r="AF464">
            <v>-3439816.9</v>
          </cell>
          <cell r="AG464">
            <v>-2841544.13</v>
          </cell>
          <cell r="AH464">
            <v>-2719152.99</v>
          </cell>
          <cell r="AI464">
            <v>-2443479.5099999998</v>
          </cell>
          <cell r="AJ464">
            <v>-2608560.4</v>
          </cell>
          <cell r="AK464">
            <v>-3112556.58</v>
          </cell>
          <cell r="AL464">
            <v>-2955341.35</v>
          </cell>
          <cell r="AM464">
            <v>-3683225.77</v>
          </cell>
          <cell r="AN464">
            <v>-4231725.46</v>
          </cell>
          <cell r="AO464">
            <v>-4180954.37</v>
          </cell>
          <cell r="AP464">
            <v>-3653266.39</v>
          </cell>
          <cell r="AQ464">
            <v>-3939952.78</v>
          </cell>
          <cell r="AR464">
            <v>-3085901.99</v>
          </cell>
          <cell r="AS464">
            <v>-2806333.22</v>
          </cell>
          <cell r="AT464">
            <v>-2542884.15</v>
          </cell>
          <cell r="AU464">
            <v>-2600483.89</v>
          </cell>
          <cell r="AV464">
            <v>-2698235.25</v>
          </cell>
          <cell r="AW464">
            <v>-2700629.84</v>
          </cell>
          <cell r="AX464">
            <v>-3194243.31</v>
          </cell>
          <cell r="AY464">
            <v>-4154754.7</v>
          </cell>
          <cell r="AZ464">
            <v>-6100424.8600000003</v>
          </cell>
          <cell r="BA464">
            <v>-5441539.4299999997</v>
          </cell>
          <cell r="BB464">
            <v>-5103745.08</v>
          </cell>
          <cell r="BC464">
            <v>-5263194.91</v>
          </cell>
          <cell r="BD464">
            <v>-4475518.4000000004</v>
          </cell>
          <cell r="BE464">
            <v>-4057171.95</v>
          </cell>
          <cell r="BF464">
            <v>-3735562.38</v>
          </cell>
          <cell r="BG464">
            <v>-3462575.71</v>
          </cell>
          <cell r="BH464">
            <v>-3830705.31</v>
          </cell>
          <cell r="BI464">
            <v>-4020081.88</v>
          </cell>
          <cell r="BJ464">
            <v>-3948227.06</v>
          </cell>
          <cell r="BK464">
            <v>-5530039.8799999999</v>
          </cell>
          <cell r="BL464">
            <v>-6087032.2999999998</v>
          </cell>
          <cell r="BM464">
            <v>-5960967.25</v>
          </cell>
          <cell r="BN464">
            <v>-5491310.5300000003</v>
          </cell>
          <cell r="BO464">
            <v>-4477421.43</v>
          </cell>
          <cell r="BP464">
            <v>-4127854</v>
          </cell>
          <cell r="BQ464">
            <v>-3639905.69</v>
          </cell>
          <cell r="BR464">
            <v>-3492498.57</v>
          </cell>
          <cell r="BS464">
            <v>-3948963.8399999999</v>
          </cell>
          <cell r="BT464">
            <v>-4139904.29</v>
          </cell>
          <cell r="BU464">
            <v>-4225190.59</v>
          </cell>
          <cell r="BV464">
            <v>-4619205.33</v>
          </cell>
          <cell r="BW464">
            <v>-6212634.5199999996</v>
          </cell>
          <cell r="BX464">
            <v>-6898108.9299999997</v>
          </cell>
          <cell r="BY464">
            <v>-6793191.4800000004</v>
          </cell>
          <cell r="BZ464">
            <v>-6167630.1600000001</v>
          </cell>
          <cell r="CA464">
            <v>-4748576.43</v>
          </cell>
          <cell r="CB464">
            <v>-4214475.5599999996</v>
          </cell>
          <cell r="CC464">
            <v>-4136227.8</v>
          </cell>
          <cell r="CD464">
            <v>-4029209.34</v>
          </cell>
          <cell r="CE464">
            <v>-3933859.04</v>
          </cell>
          <cell r="CF464">
            <v>-3975864.29</v>
          </cell>
          <cell r="CG464">
            <v>-4086632.02</v>
          </cell>
          <cell r="CH464">
            <v>-4699066.3099999996</v>
          </cell>
          <cell r="CI464">
            <v>-6185044.9000000004</v>
          </cell>
          <cell r="CJ464">
            <v>-6351352.71</v>
          </cell>
          <cell r="CK464">
            <v>-6868284.4800000004</v>
          </cell>
          <cell r="CL464">
            <v>-3985881.85</v>
          </cell>
          <cell r="CM464">
            <v>-4781500.72</v>
          </cell>
          <cell r="CN464">
            <v>-4019908.06</v>
          </cell>
          <cell r="CO464">
            <v>-3749141.62</v>
          </cell>
          <cell r="CP464">
            <v>-3831829.94</v>
          </cell>
          <cell r="CQ464">
            <v>-3456704.16</v>
          </cell>
          <cell r="CR464">
            <v>-3459908.84</v>
          </cell>
          <cell r="CS464">
            <v>-3716736.47</v>
          </cell>
          <cell r="CT464">
            <v>-4769155.41</v>
          </cell>
          <cell r="CU464">
            <v>-5290079.79</v>
          </cell>
          <cell r="CV464">
            <v>-7535652.8300000001</v>
          </cell>
          <cell r="CW464">
            <v>-8355320.7000000002</v>
          </cell>
          <cell r="CX464">
            <v>-7354820.6799999997</v>
          </cell>
          <cell r="CY464">
            <v>-6211141.5599999996</v>
          </cell>
          <cell r="CZ464">
            <v>-5621668.3099999996</v>
          </cell>
          <cell r="DA464">
            <v>-5065402.1100000003</v>
          </cell>
          <cell r="DB464">
            <v>-4520999.55</v>
          </cell>
          <cell r="DC464">
            <v>-4492453.9800000004</v>
          </cell>
          <cell r="DD464">
            <v>-4586241.74</v>
          </cell>
          <cell r="DE464">
            <v>-5199583.34</v>
          </cell>
          <cell r="DF464">
            <v>-5560370.8399999999</v>
          </cell>
          <cell r="DG464">
            <v>-6581090.0099999998</v>
          </cell>
          <cell r="DH464">
            <v>-71084745.650000006</v>
          </cell>
        </row>
        <row r="465">
          <cell r="A465" t="str">
            <v>5870</v>
          </cell>
          <cell r="D465">
            <v>0</v>
          </cell>
          <cell r="E465">
            <v>0</v>
          </cell>
          <cell r="F465">
            <v>0</v>
          </cell>
          <cell r="G465">
            <v>0</v>
          </cell>
          <cell r="H465">
            <v>0</v>
          </cell>
          <cell r="I465">
            <v>0</v>
          </cell>
          <cell r="J465">
            <v>74947.5</v>
          </cell>
          <cell r="K465">
            <v>-74945.52</v>
          </cell>
          <cell r="L465">
            <v>-1.98</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cell r="CM465">
            <v>0</v>
          </cell>
          <cell r="CN465">
            <v>0</v>
          </cell>
          <cell r="CO465">
            <v>0</v>
          </cell>
          <cell r="CP465">
            <v>0</v>
          </cell>
          <cell r="CQ465">
            <v>0</v>
          </cell>
          <cell r="CR465">
            <v>0</v>
          </cell>
          <cell r="CS465">
            <v>0</v>
          </cell>
          <cell r="CT465">
            <v>0</v>
          </cell>
          <cell r="CU465">
            <v>0</v>
          </cell>
          <cell r="CV465">
            <v>0</v>
          </cell>
          <cell r="CW465">
            <v>0</v>
          </cell>
          <cell r="CX465">
            <v>0</v>
          </cell>
          <cell r="CY465">
            <v>0</v>
          </cell>
          <cell r="CZ465">
            <v>0</v>
          </cell>
          <cell r="DA465">
            <v>0</v>
          </cell>
          <cell r="DB465">
            <v>0</v>
          </cell>
          <cell r="DC465">
            <v>0</v>
          </cell>
          <cell r="DD465">
            <v>0</v>
          </cell>
          <cell r="DE465">
            <v>0</v>
          </cell>
          <cell r="DF465">
            <v>0</v>
          </cell>
          <cell r="DG465">
            <v>0</v>
          </cell>
          <cell r="DH465">
            <v>0</v>
          </cell>
        </row>
        <row r="466">
          <cell r="A466" t="str">
            <v>8010</v>
          </cell>
          <cell r="D466">
            <v>12561571.85</v>
          </cell>
          <cell r="E466">
            <v>6525416.46</v>
          </cell>
          <cell r="F466">
            <v>7250975.8399999999</v>
          </cell>
          <cell r="G466">
            <v>7128382.2400000002</v>
          </cell>
          <cell r="H466">
            <v>6245636.2699999996</v>
          </cell>
          <cell r="I466">
            <v>3116198.03</v>
          </cell>
          <cell r="J466">
            <v>4962776.37</v>
          </cell>
          <cell r="K466">
            <v>7684991.5</v>
          </cell>
          <cell r="L466">
            <v>5434003.0199999996</v>
          </cell>
          <cell r="M466">
            <v>6346878.1699999999</v>
          </cell>
          <cell r="N466">
            <v>10634548.01</v>
          </cell>
          <cell r="O466">
            <v>6160228.0499999998</v>
          </cell>
          <cell r="P466">
            <v>8516626.5299999993</v>
          </cell>
          <cell r="Q466">
            <v>9700009.5899999999</v>
          </cell>
          <cell r="R466">
            <v>4424630.05</v>
          </cell>
          <cell r="S466">
            <v>7167658.9199999999</v>
          </cell>
          <cell r="T466">
            <v>4326192.88</v>
          </cell>
          <cell r="U466">
            <v>6143972.9100000001</v>
          </cell>
          <cell r="V466">
            <v>5895266.9000000004</v>
          </cell>
          <cell r="W466">
            <v>6492080.8399999999</v>
          </cell>
          <cell r="X466">
            <v>6109691.0599999996</v>
          </cell>
          <cell r="Y466">
            <v>7203265.4199999999</v>
          </cell>
          <cell r="Z466">
            <v>9511810.8699999992</v>
          </cell>
          <cell r="AA466">
            <v>4842061.9800000004</v>
          </cell>
          <cell r="AB466">
            <v>10754382.890000001</v>
          </cell>
          <cell r="AC466">
            <v>8124951.2599999998</v>
          </cell>
          <cell r="AD466">
            <v>6507188.2199999997</v>
          </cell>
          <cell r="AE466">
            <v>7908919.5800000001</v>
          </cell>
          <cell r="AF466">
            <v>5359402.57</v>
          </cell>
          <cell r="AG466">
            <v>6279826.1200000001</v>
          </cell>
          <cell r="AH466">
            <v>10737105.75</v>
          </cell>
          <cell r="AI466">
            <v>10268790.210000001</v>
          </cell>
          <cell r="AJ466">
            <v>8985528.2699999996</v>
          </cell>
          <cell r="AK466">
            <v>9930860.6899999995</v>
          </cell>
          <cell r="AL466">
            <v>5622708.7199999997</v>
          </cell>
          <cell r="AM466">
            <v>6114464.9400000004</v>
          </cell>
          <cell r="AN466">
            <v>7533935.1900000004</v>
          </cell>
          <cell r="AO466">
            <v>4453391.84</v>
          </cell>
          <cell r="AP466">
            <v>7294468.54</v>
          </cell>
          <cell r="AQ466">
            <v>6927062.9800000004</v>
          </cell>
          <cell r="AR466">
            <v>7675566.0300000003</v>
          </cell>
          <cell r="AS466">
            <v>6117128.9699999997</v>
          </cell>
          <cell r="AT466">
            <v>7357064.2400000002</v>
          </cell>
          <cell r="AU466">
            <v>12863912.109999999</v>
          </cell>
          <cell r="AV466">
            <v>10089367.199999999</v>
          </cell>
          <cell r="AW466">
            <v>7178549.3700000001</v>
          </cell>
          <cell r="AX466">
            <v>6545528.5</v>
          </cell>
          <cell r="AY466">
            <v>9699036.0299999993</v>
          </cell>
          <cell r="AZ466">
            <v>15644864.970000001</v>
          </cell>
          <cell r="BA466">
            <v>5340727.6399999997</v>
          </cell>
          <cell r="BB466">
            <v>6277782.7800000003</v>
          </cell>
          <cell r="BC466">
            <v>4881971.83</v>
          </cell>
          <cell r="BD466">
            <v>6533494.5800000001</v>
          </cell>
          <cell r="BE466">
            <v>8650777.0500000007</v>
          </cell>
          <cell r="BF466">
            <v>10374290.039999999</v>
          </cell>
          <cell r="BG466">
            <v>7852549.0999999996</v>
          </cell>
          <cell r="BH466">
            <v>9175129.9100000001</v>
          </cell>
          <cell r="BI466">
            <v>12800433.609999999</v>
          </cell>
          <cell r="BJ466">
            <v>12417507.609999999</v>
          </cell>
          <cell r="BK466">
            <v>11340818.380000001</v>
          </cell>
          <cell r="BL466">
            <v>10920258.68</v>
          </cell>
          <cell r="BM466">
            <v>4818164.2699999996</v>
          </cell>
          <cell r="BN466">
            <v>7024273.3099999996</v>
          </cell>
          <cell r="BO466">
            <v>5787609.75</v>
          </cell>
          <cell r="BP466">
            <v>7248887.9800000004</v>
          </cell>
          <cell r="BQ466">
            <v>4712578.1900000004</v>
          </cell>
          <cell r="BR466">
            <v>4977853.0599999996</v>
          </cell>
          <cell r="BS466">
            <v>5261662.51</v>
          </cell>
          <cell r="BT466">
            <v>7537296.2599999998</v>
          </cell>
          <cell r="BU466">
            <v>7709685.6900000004</v>
          </cell>
          <cell r="BV466">
            <v>6504167.6900000004</v>
          </cell>
          <cell r="BW466">
            <v>6526098.8200000003</v>
          </cell>
          <cell r="BX466">
            <v>7351025.9699999997</v>
          </cell>
          <cell r="BY466">
            <v>4675986.6900000004</v>
          </cell>
          <cell r="BZ466">
            <v>3131403.68</v>
          </cell>
          <cell r="CA466">
            <v>2638311.52</v>
          </cell>
          <cell r="CB466">
            <v>4375377.1399999997</v>
          </cell>
          <cell r="CC466">
            <v>3988040.85</v>
          </cell>
          <cell r="CD466">
            <v>4361384.07</v>
          </cell>
          <cell r="CE466">
            <v>3454869.17</v>
          </cell>
          <cell r="CF466">
            <v>2864851.99</v>
          </cell>
          <cell r="CG466">
            <v>4298261.6399999997</v>
          </cell>
          <cell r="CH466">
            <v>5328723.91</v>
          </cell>
          <cell r="CI466">
            <v>8902538.5500000007</v>
          </cell>
          <cell r="CJ466">
            <v>8180694.8799999999</v>
          </cell>
          <cell r="CK466">
            <v>11970322.49</v>
          </cell>
          <cell r="CL466">
            <v>7246725.5599999996</v>
          </cell>
          <cell r="CM466">
            <v>3201611.55</v>
          </cell>
          <cell r="CN466">
            <v>3044400.33</v>
          </cell>
          <cell r="CO466">
            <v>4855418.79</v>
          </cell>
          <cell r="CP466">
            <v>4740323.63</v>
          </cell>
          <cell r="CQ466">
            <v>4761484.3899999997</v>
          </cell>
          <cell r="CR466">
            <v>5479365.6699999999</v>
          </cell>
          <cell r="CS466">
            <v>12614259.33</v>
          </cell>
          <cell r="CT466">
            <v>12119689.630000001</v>
          </cell>
          <cell r="CU466">
            <v>6485793.3399999999</v>
          </cell>
          <cell r="CV466">
            <v>15899242.619999999</v>
          </cell>
          <cell r="CW466">
            <v>12705145.189999999</v>
          </cell>
          <cell r="CX466">
            <v>11603973.09</v>
          </cell>
          <cell r="CY466">
            <v>9992448.5700000003</v>
          </cell>
          <cell r="CZ466">
            <v>18454948.52</v>
          </cell>
          <cell r="DA466">
            <v>17932753.890000001</v>
          </cell>
          <cell r="DB466">
            <v>17658204.780000001</v>
          </cell>
          <cell r="DC466">
            <v>18963499.109999999</v>
          </cell>
          <cell r="DD466">
            <v>10989178.57</v>
          </cell>
          <cell r="DE466">
            <v>10210400.18</v>
          </cell>
          <cell r="DF466">
            <v>14018600.66</v>
          </cell>
          <cell r="DG466">
            <v>17580198.039999999</v>
          </cell>
          <cell r="DH466">
            <v>176008593.22</v>
          </cell>
        </row>
        <row r="467">
          <cell r="A467" t="str">
            <v>8040</v>
          </cell>
          <cell r="D467">
            <v>5639514.71</v>
          </cell>
          <cell r="E467">
            <v>5164240.18</v>
          </cell>
          <cell r="F467">
            <v>5572105.29</v>
          </cell>
          <cell r="G467">
            <v>5108472.4400000004</v>
          </cell>
          <cell r="H467">
            <v>3949891.1</v>
          </cell>
          <cell r="I467">
            <v>2985779.54</v>
          </cell>
          <cell r="J467">
            <v>3199602.32</v>
          </cell>
          <cell r="K467">
            <v>3216054.54</v>
          </cell>
          <cell r="L467">
            <v>3181092.1</v>
          </cell>
          <cell r="M467">
            <v>4836985.97</v>
          </cell>
          <cell r="N467">
            <v>5473371.0800000001</v>
          </cell>
          <cell r="O467">
            <v>5233601.82</v>
          </cell>
          <cell r="P467">
            <v>6400077.0199999996</v>
          </cell>
          <cell r="Q467">
            <v>6300292.3200000003</v>
          </cell>
          <cell r="R467">
            <v>6794940.2300000004</v>
          </cell>
          <cell r="S467">
            <v>5750568.9000000004</v>
          </cell>
          <cell r="T467">
            <v>4527268.83</v>
          </cell>
          <cell r="U467">
            <v>2892504.28</v>
          </cell>
          <cell r="V467">
            <v>4037598.81</v>
          </cell>
          <cell r="W467">
            <v>4036045.53</v>
          </cell>
          <cell r="X467">
            <v>4055244.95</v>
          </cell>
          <cell r="Y467">
            <v>5479602.5199999996</v>
          </cell>
          <cell r="Z467">
            <v>6529393.1399999997</v>
          </cell>
          <cell r="AA467">
            <v>5964121.4800000004</v>
          </cell>
          <cell r="AB467">
            <v>5508918.25</v>
          </cell>
          <cell r="AC467">
            <v>5904060.8700000001</v>
          </cell>
          <cell r="AD467">
            <v>6617774.8799999999</v>
          </cell>
          <cell r="AE467">
            <v>5651778.71</v>
          </cell>
          <cell r="AF467">
            <v>3798936</v>
          </cell>
          <cell r="AG467">
            <v>3295648.4</v>
          </cell>
          <cell r="AH467">
            <v>2923828.14</v>
          </cell>
          <cell r="AI467">
            <v>3252988.88</v>
          </cell>
          <cell r="AJ467">
            <v>3795277.86</v>
          </cell>
          <cell r="AK467">
            <v>5673789.9900000002</v>
          </cell>
          <cell r="AL467">
            <v>6164743.8399999999</v>
          </cell>
          <cell r="AM467">
            <v>5734177.8700000001</v>
          </cell>
          <cell r="AN467">
            <v>6091709.2599999998</v>
          </cell>
          <cell r="AO467">
            <v>5806917.71</v>
          </cell>
          <cell r="AP467">
            <v>6264563.6399999997</v>
          </cell>
          <cell r="AQ467">
            <v>5745309.9699999997</v>
          </cell>
          <cell r="AR467">
            <v>4441659.24</v>
          </cell>
          <cell r="AS467">
            <v>4320316.16</v>
          </cell>
          <cell r="AT467">
            <v>5288490.95</v>
          </cell>
          <cell r="AU467">
            <v>4874658.04</v>
          </cell>
          <cell r="AV467">
            <v>4702938.42</v>
          </cell>
          <cell r="AW467">
            <v>6315693.0700000003</v>
          </cell>
          <cell r="AX467">
            <v>6885306.9900000002</v>
          </cell>
          <cell r="AY467">
            <v>6953115.9100000001</v>
          </cell>
          <cell r="AZ467">
            <v>7450511.25</v>
          </cell>
          <cell r="BA467">
            <v>5405755.8099999996</v>
          </cell>
          <cell r="BB467">
            <v>7079580.0199999996</v>
          </cell>
          <cell r="BC467">
            <v>5553699.1699999999</v>
          </cell>
          <cell r="BD467">
            <v>5190895.4000000004</v>
          </cell>
          <cell r="BE467">
            <v>4844459.96</v>
          </cell>
          <cell r="BF467">
            <v>5002186.0199999996</v>
          </cell>
          <cell r="BG467">
            <v>4742570.3099999996</v>
          </cell>
          <cell r="BH467">
            <v>4599171.3899999997</v>
          </cell>
          <cell r="BI467">
            <v>6596462.3799999999</v>
          </cell>
          <cell r="BJ467">
            <v>7857688.54</v>
          </cell>
          <cell r="BK467">
            <v>7652151.7699999996</v>
          </cell>
          <cell r="BL467">
            <v>6837538.9400000004</v>
          </cell>
          <cell r="BM467">
            <v>6544615.7599999998</v>
          </cell>
          <cell r="BN467">
            <v>6760335.04</v>
          </cell>
          <cell r="BO467">
            <v>5770035.0999999996</v>
          </cell>
          <cell r="BP467">
            <v>4445931.78</v>
          </cell>
          <cell r="BQ467">
            <v>3977453.81</v>
          </cell>
          <cell r="BR467">
            <v>4689146.51</v>
          </cell>
          <cell r="BS467">
            <v>4952073.71</v>
          </cell>
          <cell r="BT467">
            <v>4909703.74</v>
          </cell>
          <cell r="BU467">
            <v>6342647.2699999996</v>
          </cell>
          <cell r="BV467">
            <v>7502900.8600000003</v>
          </cell>
          <cell r="BW467">
            <v>7019581.8700000001</v>
          </cell>
          <cell r="BX467">
            <v>6281796.8799999999</v>
          </cell>
          <cell r="BY467">
            <v>5977920.4900000002</v>
          </cell>
          <cell r="BZ467">
            <v>7512091.0899999999</v>
          </cell>
          <cell r="CA467">
            <v>5949777.6299999999</v>
          </cell>
          <cell r="CB467">
            <v>4520520.3600000003</v>
          </cell>
          <cell r="CC467">
            <v>4749436.8</v>
          </cell>
          <cell r="CD467">
            <v>4787878.3899999997</v>
          </cell>
          <cell r="CE467">
            <v>5936683.1299999999</v>
          </cell>
          <cell r="CF467">
            <v>5349042.1500000004</v>
          </cell>
          <cell r="CG467">
            <v>7252677.9299999997</v>
          </cell>
          <cell r="CH467">
            <v>8395195.4199999999</v>
          </cell>
          <cell r="CI467">
            <v>8301268.0300000003</v>
          </cell>
          <cell r="CJ467">
            <v>8654356.9499999993</v>
          </cell>
          <cell r="CK467">
            <v>7083952.8099999996</v>
          </cell>
          <cell r="CL467">
            <v>9557116.3499999996</v>
          </cell>
          <cell r="CM467">
            <v>6965657.5300000003</v>
          </cell>
          <cell r="CN467">
            <v>6756863.3600000003</v>
          </cell>
          <cell r="CO467">
            <v>6227929.1500000004</v>
          </cell>
          <cell r="CP467">
            <v>5878221.7699999996</v>
          </cell>
          <cell r="CQ467">
            <v>6385843.3600000003</v>
          </cell>
          <cell r="CR467">
            <v>6528674.5800000001</v>
          </cell>
          <cell r="CS467">
            <v>8435647.3499999996</v>
          </cell>
          <cell r="CT467">
            <v>9234809.6999999993</v>
          </cell>
          <cell r="CU467">
            <v>10046836.35</v>
          </cell>
          <cell r="CV467">
            <v>8173195.6299999999</v>
          </cell>
          <cell r="CW467">
            <v>7490912.8799999999</v>
          </cell>
          <cell r="CX467">
            <v>9000033.1999999993</v>
          </cell>
          <cell r="CY467">
            <v>8316292.0099999998</v>
          </cell>
          <cell r="CZ467">
            <v>7148894.2800000003</v>
          </cell>
          <cell r="DA467">
            <v>5639197.6500000004</v>
          </cell>
          <cell r="DB467">
            <v>4405329.3899999997</v>
          </cell>
          <cell r="DC467">
            <v>4534903.9000000004</v>
          </cell>
          <cell r="DD467">
            <v>4708308.17</v>
          </cell>
          <cell r="DE467">
            <v>7676249.1399999997</v>
          </cell>
          <cell r="DF467">
            <v>7942989.6100000003</v>
          </cell>
          <cell r="DG467">
            <v>7510443.5099999998</v>
          </cell>
          <cell r="DH467">
            <v>82546749.370000005</v>
          </cell>
        </row>
        <row r="468">
          <cell r="A468" t="str">
            <v>8051</v>
          </cell>
          <cell r="D468">
            <v>679383</v>
          </cell>
          <cell r="E468">
            <v>5018688</v>
          </cell>
          <cell r="F468">
            <v>-819317</v>
          </cell>
          <cell r="G468">
            <v>1884531</v>
          </cell>
          <cell r="H468">
            <v>-2014284</v>
          </cell>
          <cell r="I468">
            <v>1920123</v>
          </cell>
          <cell r="J468">
            <v>763900.05</v>
          </cell>
          <cell r="K468">
            <v>189368</v>
          </cell>
          <cell r="L468">
            <v>-269930</v>
          </cell>
          <cell r="M468">
            <v>-1989265</v>
          </cell>
          <cell r="N468">
            <v>-5688623</v>
          </cell>
          <cell r="O468">
            <v>2439540.9</v>
          </cell>
          <cell r="P468">
            <v>822357</v>
          </cell>
          <cell r="Q468">
            <v>-524157</v>
          </cell>
          <cell r="R468">
            <v>1640691</v>
          </cell>
          <cell r="S468">
            <v>-1672434</v>
          </cell>
          <cell r="T468">
            <v>-496279</v>
          </cell>
          <cell r="U468">
            <v>2294075</v>
          </cell>
          <cell r="V468">
            <v>-1214409</v>
          </cell>
          <cell r="W468">
            <v>480856</v>
          </cell>
          <cell r="X468">
            <v>-421956</v>
          </cell>
          <cell r="Y468">
            <v>-2416207</v>
          </cell>
          <cell r="Z468">
            <v>-2314895</v>
          </cell>
          <cell r="AA468">
            <v>-249974.01</v>
          </cell>
          <cell r="AB468">
            <v>942318</v>
          </cell>
          <cell r="AC468">
            <v>4960838</v>
          </cell>
          <cell r="AD468">
            <v>1555564</v>
          </cell>
          <cell r="AE468">
            <v>710094</v>
          </cell>
          <cell r="AF468">
            <v>1525026</v>
          </cell>
          <cell r="AG468">
            <v>1904894</v>
          </cell>
          <cell r="AH468">
            <v>1196792</v>
          </cell>
          <cell r="AI468">
            <v>767312</v>
          </cell>
          <cell r="AJ468">
            <v>-541211</v>
          </cell>
          <cell r="AK468">
            <v>-2740969</v>
          </cell>
          <cell r="AL468">
            <v>-2889321</v>
          </cell>
          <cell r="AM468">
            <v>-482580.06</v>
          </cell>
          <cell r="AN468">
            <v>464212</v>
          </cell>
          <cell r="AO468">
            <v>3133204</v>
          </cell>
          <cell r="AP468">
            <v>-3512801</v>
          </cell>
          <cell r="AQ468">
            <v>954400</v>
          </cell>
          <cell r="AR468">
            <v>5631</v>
          </cell>
          <cell r="AS468">
            <v>-928000</v>
          </cell>
          <cell r="AT468">
            <v>-1188769</v>
          </cell>
          <cell r="AU468">
            <v>-1203702</v>
          </cell>
          <cell r="AV468">
            <v>1187742</v>
          </cell>
          <cell r="AW468">
            <v>-3418268</v>
          </cell>
          <cell r="AX468">
            <v>-1209484</v>
          </cell>
          <cell r="AY468">
            <v>674723</v>
          </cell>
          <cell r="AZ468">
            <v>5219016</v>
          </cell>
          <cell r="BA468">
            <v>6154483</v>
          </cell>
          <cell r="BB468">
            <v>-2687877</v>
          </cell>
          <cell r="BC468">
            <v>3642970</v>
          </cell>
          <cell r="BD468">
            <v>-137378</v>
          </cell>
          <cell r="BE468">
            <v>464262</v>
          </cell>
          <cell r="BF468">
            <v>124713</v>
          </cell>
          <cell r="BG468">
            <v>-422436</v>
          </cell>
          <cell r="BH468">
            <v>496539</v>
          </cell>
          <cell r="BI468">
            <v>-3086396</v>
          </cell>
          <cell r="BJ468">
            <v>-6321984</v>
          </cell>
          <cell r="BK468">
            <v>-3245669.72</v>
          </cell>
          <cell r="BL468">
            <v>1746712</v>
          </cell>
          <cell r="BM468">
            <v>3391969</v>
          </cell>
          <cell r="BN468">
            <v>1035531</v>
          </cell>
          <cell r="BO468">
            <v>2917021</v>
          </cell>
          <cell r="BP468">
            <v>2402818</v>
          </cell>
          <cell r="BQ468">
            <v>1040195</v>
          </cell>
          <cell r="BR468">
            <v>141162</v>
          </cell>
          <cell r="BS468">
            <v>-1576330</v>
          </cell>
          <cell r="BT468">
            <v>517518</v>
          </cell>
          <cell r="BU468">
            <v>-2632582</v>
          </cell>
          <cell r="BV468">
            <v>-2335633</v>
          </cell>
          <cell r="BW468">
            <v>1095920</v>
          </cell>
          <cell r="BX468">
            <v>3379908</v>
          </cell>
          <cell r="BY468">
            <v>3035687</v>
          </cell>
          <cell r="BZ468">
            <v>1210082</v>
          </cell>
          <cell r="CA468">
            <v>627746</v>
          </cell>
          <cell r="CB468">
            <v>-536907</v>
          </cell>
          <cell r="CC468">
            <v>599375</v>
          </cell>
          <cell r="CD468">
            <v>-584864</v>
          </cell>
          <cell r="CE468">
            <v>-2509697</v>
          </cell>
          <cell r="CF468">
            <v>-804568</v>
          </cell>
          <cell r="CG468">
            <v>-4016394</v>
          </cell>
          <cell r="CH468">
            <v>-3496243</v>
          </cell>
          <cell r="CI468">
            <v>-785190.97</v>
          </cell>
          <cell r="CJ468">
            <v>3626639</v>
          </cell>
          <cell r="CK468">
            <v>-2541111</v>
          </cell>
          <cell r="CL468">
            <v>-1306764</v>
          </cell>
          <cell r="CM468">
            <v>3821598</v>
          </cell>
          <cell r="CN468">
            <v>395754</v>
          </cell>
          <cell r="CO468">
            <v>-783525</v>
          </cell>
          <cell r="CP468">
            <v>310670</v>
          </cell>
          <cell r="CQ468">
            <v>-1010873</v>
          </cell>
          <cell r="CR468">
            <v>-1505757</v>
          </cell>
          <cell r="CS468">
            <v>-7716553</v>
          </cell>
          <cell r="CT468">
            <v>-7792165</v>
          </cell>
          <cell r="CU468">
            <v>482154</v>
          </cell>
          <cell r="CV468">
            <v>4562587</v>
          </cell>
          <cell r="CW468">
            <v>5360882</v>
          </cell>
          <cell r="CX468">
            <v>-620907</v>
          </cell>
          <cell r="CY468">
            <v>-159134</v>
          </cell>
          <cell r="CZ468">
            <v>-1594164</v>
          </cell>
          <cell r="DA468">
            <v>299138</v>
          </cell>
          <cell r="DB468">
            <v>759871</v>
          </cell>
          <cell r="DC468">
            <v>3487183</v>
          </cell>
          <cell r="DD468">
            <v>5197002</v>
          </cell>
          <cell r="DE468">
            <v>3106649</v>
          </cell>
          <cell r="DF468">
            <v>-9972573</v>
          </cell>
          <cell r="DG468">
            <v>-5484233</v>
          </cell>
          <cell r="DH468">
            <v>4942301</v>
          </cell>
        </row>
        <row r="469">
          <cell r="A469" t="str">
            <v>8081</v>
          </cell>
          <cell r="D469">
            <v>0</v>
          </cell>
          <cell r="E469">
            <v>0</v>
          </cell>
          <cell r="F469">
            <v>0</v>
          </cell>
          <cell r="G469">
            <v>0</v>
          </cell>
          <cell r="H469">
            <v>206496.21</v>
          </cell>
          <cell r="I469">
            <v>0</v>
          </cell>
          <cell r="J469">
            <v>349195.48</v>
          </cell>
          <cell r="K469">
            <v>39558.47</v>
          </cell>
          <cell r="L469">
            <v>0</v>
          </cell>
          <cell r="M469">
            <v>155416.06</v>
          </cell>
          <cell r="N469">
            <v>0</v>
          </cell>
          <cell r="O469">
            <v>371458.58</v>
          </cell>
          <cell r="P469">
            <v>0</v>
          </cell>
          <cell r="Q469">
            <v>0</v>
          </cell>
          <cell r="R469">
            <v>0</v>
          </cell>
          <cell r="S469">
            <v>0</v>
          </cell>
          <cell r="T469">
            <v>0</v>
          </cell>
          <cell r="U469">
            <v>175914.65</v>
          </cell>
          <cell r="V469">
            <v>0</v>
          </cell>
          <cell r="W469">
            <v>87282.54</v>
          </cell>
          <cell r="X469">
            <v>0</v>
          </cell>
          <cell r="Y469">
            <v>0</v>
          </cell>
          <cell r="Z469">
            <v>39701.15</v>
          </cell>
          <cell r="AA469">
            <v>76364.31</v>
          </cell>
          <cell r="AB469">
            <v>41648.54</v>
          </cell>
          <cell r="AC469">
            <v>0</v>
          </cell>
          <cell r="AD469">
            <v>0</v>
          </cell>
          <cell r="AE469">
            <v>52144.2</v>
          </cell>
          <cell r="AF469">
            <v>0</v>
          </cell>
          <cell r="AG469">
            <v>0</v>
          </cell>
          <cell r="AH469">
            <v>16602.21</v>
          </cell>
          <cell r="AI469">
            <v>-451024.81</v>
          </cell>
          <cell r="AJ469">
            <v>0</v>
          </cell>
          <cell r="AK469">
            <v>73195.289999999994</v>
          </cell>
          <cell r="AL469">
            <v>0</v>
          </cell>
          <cell r="AM469">
            <v>160586.42000000001</v>
          </cell>
          <cell r="AN469">
            <v>43578.22</v>
          </cell>
          <cell r="AO469">
            <v>0</v>
          </cell>
          <cell r="AP469">
            <v>164510.85999999999</v>
          </cell>
          <cell r="AQ469">
            <v>0</v>
          </cell>
          <cell r="AR469">
            <v>0</v>
          </cell>
          <cell r="AS469">
            <v>0</v>
          </cell>
          <cell r="AT469">
            <v>122030.6</v>
          </cell>
          <cell r="AU469">
            <v>0</v>
          </cell>
          <cell r="AV469">
            <v>354485.92</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131045.66</v>
          </cell>
          <cell r="CV469">
            <v>-131045.66</v>
          </cell>
          <cell r="CW469">
            <v>40600.42</v>
          </cell>
          <cell r="CX469">
            <v>219512.59</v>
          </cell>
          <cell r="CY469">
            <v>0</v>
          </cell>
          <cell r="CZ469">
            <v>0</v>
          </cell>
          <cell r="DA469">
            <v>3.65</v>
          </cell>
          <cell r="DB469">
            <v>0</v>
          </cell>
          <cell r="DC469">
            <v>4807.3</v>
          </cell>
          <cell r="DD469">
            <v>-9.92</v>
          </cell>
          <cell r="DE469">
            <v>0</v>
          </cell>
          <cell r="DF469">
            <v>0</v>
          </cell>
          <cell r="DG469">
            <v>545973.76000000001</v>
          </cell>
          <cell r="DH469">
            <v>679842.14</v>
          </cell>
        </row>
        <row r="470">
          <cell r="A470" t="str">
            <v>8082</v>
          </cell>
          <cell r="D470">
            <v>0</v>
          </cell>
          <cell r="E470">
            <v>0</v>
          </cell>
          <cell r="F470">
            <v>0</v>
          </cell>
          <cell r="G470">
            <v>0</v>
          </cell>
          <cell r="H470">
            <v>-880730.91</v>
          </cell>
          <cell r="I470">
            <v>-241393.98</v>
          </cell>
          <cell r="J470">
            <v>0</v>
          </cell>
          <cell r="K470">
            <v>0</v>
          </cell>
          <cell r="L470">
            <v>0</v>
          </cell>
          <cell r="M470">
            <v>0</v>
          </cell>
          <cell r="N470">
            <v>0</v>
          </cell>
          <cell r="O470">
            <v>0</v>
          </cell>
          <cell r="P470">
            <v>0</v>
          </cell>
          <cell r="Q470">
            <v>-126382.67</v>
          </cell>
          <cell r="R470">
            <v>-80.209999999999994</v>
          </cell>
          <cell r="S470">
            <v>-176894.55</v>
          </cell>
          <cell r="T470">
            <v>-24863.17</v>
          </cell>
          <cell r="U470">
            <v>0</v>
          </cell>
          <cell r="V470">
            <v>-123030.41</v>
          </cell>
          <cell r="W470">
            <v>0</v>
          </cell>
          <cell r="X470">
            <v>-86637.61</v>
          </cell>
          <cell r="Y470">
            <v>0</v>
          </cell>
          <cell r="Z470">
            <v>0</v>
          </cell>
          <cell r="AA470">
            <v>0</v>
          </cell>
          <cell r="AB470">
            <v>0</v>
          </cell>
          <cell r="AC470">
            <v>-24313</v>
          </cell>
          <cell r="AD470">
            <v>-39460.67</v>
          </cell>
          <cell r="AE470">
            <v>0</v>
          </cell>
          <cell r="AF470">
            <v>-46455.519999999997</v>
          </cell>
          <cell r="AG470">
            <v>-716.81</v>
          </cell>
          <cell r="AH470">
            <v>0</v>
          </cell>
          <cell r="AI470">
            <v>0</v>
          </cell>
          <cell r="AJ470">
            <v>0</v>
          </cell>
          <cell r="AK470">
            <v>0</v>
          </cell>
          <cell r="AL470">
            <v>0</v>
          </cell>
          <cell r="AM470">
            <v>0</v>
          </cell>
          <cell r="AN470">
            <v>0</v>
          </cell>
          <cell r="AO470">
            <v>-108258.6</v>
          </cell>
          <cell r="AP470">
            <v>0</v>
          </cell>
          <cell r="AQ470">
            <v>-49583.07</v>
          </cell>
          <cell r="AR470">
            <v>0</v>
          </cell>
          <cell r="AS470">
            <v>-140905.28</v>
          </cell>
          <cell r="AT470">
            <v>76.25</v>
          </cell>
          <cell r="AU470">
            <v>-9512.32</v>
          </cell>
          <cell r="AV470">
            <v>0</v>
          </cell>
          <cell r="AW470">
            <v>0</v>
          </cell>
          <cell r="AX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X470">
            <v>0</v>
          </cell>
          <cell r="BY470">
            <v>0</v>
          </cell>
          <cell r="BZ470">
            <v>0</v>
          </cell>
          <cell r="CA470">
            <v>0</v>
          </cell>
          <cell r="CB470">
            <v>0</v>
          </cell>
          <cell r="CC470">
            <v>0</v>
          </cell>
          <cell r="CD470">
            <v>0</v>
          </cell>
          <cell r="CE470">
            <v>0</v>
          </cell>
          <cell r="CF470">
            <v>0</v>
          </cell>
          <cell r="CG470">
            <v>0</v>
          </cell>
          <cell r="CH470">
            <v>0</v>
          </cell>
          <cell r="CI470">
            <v>0</v>
          </cell>
          <cell r="CJ470">
            <v>0</v>
          </cell>
          <cell r="CK470">
            <v>0</v>
          </cell>
          <cell r="CL470">
            <v>0</v>
          </cell>
          <cell r="CM470">
            <v>0</v>
          </cell>
          <cell r="CN470">
            <v>0</v>
          </cell>
          <cell r="CO470">
            <v>0</v>
          </cell>
          <cell r="CP470">
            <v>0</v>
          </cell>
          <cell r="CQ470">
            <v>0</v>
          </cell>
          <cell r="CR470">
            <v>0</v>
          </cell>
          <cell r="CS470">
            <v>0</v>
          </cell>
          <cell r="CT470">
            <v>-995777.75</v>
          </cell>
          <cell r="CU470">
            <v>0</v>
          </cell>
          <cell r="CV470">
            <v>104210.34</v>
          </cell>
          <cell r="CW470">
            <v>65029.39</v>
          </cell>
          <cell r="CX470">
            <v>0</v>
          </cell>
          <cell r="CY470">
            <v>0</v>
          </cell>
          <cell r="CZ470">
            <v>0</v>
          </cell>
          <cell r="DA470">
            <v>-142007.76999999999</v>
          </cell>
          <cell r="DB470">
            <v>0</v>
          </cell>
          <cell r="DC470">
            <v>0</v>
          </cell>
          <cell r="DD470">
            <v>-66102.23</v>
          </cell>
          <cell r="DE470">
            <v>-164063.06</v>
          </cell>
          <cell r="DF470">
            <v>-25635.47</v>
          </cell>
          <cell r="DG470">
            <v>223.77</v>
          </cell>
          <cell r="DH470">
            <v>-228345.03000000003</v>
          </cell>
        </row>
        <row r="471">
          <cell r="A471" t="str">
            <v>8120</v>
          </cell>
          <cell r="D471">
            <v>5031.8100000000004</v>
          </cell>
          <cell r="E471">
            <v>1759.11</v>
          </cell>
          <cell r="F471">
            <v>-12864.46</v>
          </cell>
          <cell r="G471">
            <v>-24442.66</v>
          </cell>
          <cell r="H471">
            <v>3936.42</v>
          </cell>
          <cell r="I471">
            <v>-361.84</v>
          </cell>
          <cell r="J471">
            <v>-20624.79</v>
          </cell>
          <cell r="K471">
            <v>-19225.04</v>
          </cell>
          <cell r="L471">
            <v>-9899.99</v>
          </cell>
          <cell r="M471">
            <v>-23558.01</v>
          </cell>
          <cell r="N471">
            <v>-105.7</v>
          </cell>
          <cell r="O471">
            <v>-22995.200000000001</v>
          </cell>
          <cell r="P471">
            <v>5134.62</v>
          </cell>
          <cell r="Q471">
            <v>-21988.37</v>
          </cell>
          <cell r="R471">
            <v>-38907.440000000002</v>
          </cell>
          <cell r="S471">
            <v>-16227.32</v>
          </cell>
          <cell r="T471">
            <v>3957.09</v>
          </cell>
          <cell r="U471">
            <v>147.63</v>
          </cell>
          <cell r="V471">
            <v>-4068.17</v>
          </cell>
          <cell r="W471">
            <v>-10048.07</v>
          </cell>
          <cell r="X471">
            <v>-5237.26</v>
          </cell>
          <cell r="Y471">
            <v>-19206.27</v>
          </cell>
          <cell r="Z471">
            <v>-3334.21</v>
          </cell>
          <cell r="AA471">
            <v>-25078.34</v>
          </cell>
          <cell r="AB471">
            <v>-23120.639999999999</v>
          </cell>
          <cell r="AC471">
            <v>-11535.74</v>
          </cell>
          <cell r="AD471">
            <v>-30975.14</v>
          </cell>
          <cell r="AE471">
            <v>-21830.15</v>
          </cell>
          <cell r="AF471">
            <v>-3838.87</v>
          </cell>
          <cell r="AG471">
            <v>-28898.21</v>
          </cell>
          <cell r="AH471">
            <v>3073</v>
          </cell>
          <cell r="AI471">
            <v>28790.37</v>
          </cell>
          <cell r="AJ471">
            <v>-32086.400000000001</v>
          </cell>
          <cell r="AK471">
            <v>-57552.58</v>
          </cell>
          <cell r="AL471">
            <v>-44871.41</v>
          </cell>
          <cell r="AM471">
            <v>-31318.14</v>
          </cell>
          <cell r="AN471">
            <v>-9678.23</v>
          </cell>
          <cell r="AO471">
            <v>-550.6</v>
          </cell>
          <cell r="AP471">
            <v>-78128.59</v>
          </cell>
          <cell r="AQ471">
            <v>47121.74</v>
          </cell>
          <cell r="AR471">
            <v>-46623.51</v>
          </cell>
          <cell r="AS471">
            <v>-17327.740000000002</v>
          </cell>
          <cell r="AT471">
            <v>-2686.26</v>
          </cell>
          <cell r="AU471">
            <v>22102.19</v>
          </cell>
          <cell r="AV471">
            <v>-25735.41</v>
          </cell>
          <cell r="AW471">
            <v>-25976.74</v>
          </cell>
          <cell r="AX471">
            <v>6638.96</v>
          </cell>
          <cell r="AY471">
            <v>-102160.27</v>
          </cell>
          <cell r="AZ471">
            <v>8944.7900000000009</v>
          </cell>
          <cell r="BA471">
            <v>-22995.279999999999</v>
          </cell>
          <cell r="BB471">
            <v>-12940.83</v>
          </cell>
          <cell r="BC471">
            <v>-42910.37</v>
          </cell>
          <cell r="BD471">
            <v>-2142.7399999999998</v>
          </cell>
          <cell r="BE471">
            <v>-32488.16</v>
          </cell>
          <cell r="BF471">
            <v>-42937.33</v>
          </cell>
          <cell r="BG471">
            <v>-93071.17</v>
          </cell>
          <cell r="BH471">
            <v>-33737.800000000003</v>
          </cell>
          <cell r="BI471">
            <v>1223.81</v>
          </cell>
          <cell r="BJ471">
            <v>16889.27</v>
          </cell>
          <cell r="BK471">
            <v>-27547.88</v>
          </cell>
          <cell r="BL471">
            <v>-16831.560000000001</v>
          </cell>
          <cell r="BM471">
            <v>-21601.19</v>
          </cell>
          <cell r="BN471">
            <v>-34566.82</v>
          </cell>
          <cell r="BO471">
            <v>-29684.639999999999</v>
          </cell>
          <cell r="BP471">
            <v>-51404.78</v>
          </cell>
          <cell r="BQ471">
            <v>-22396.44</v>
          </cell>
          <cell r="BR471">
            <v>-50832.02</v>
          </cell>
          <cell r="BS471">
            <v>-18479.98</v>
          </cell>
          <cell r="BT471">
            <v>-60762.86</v>
          </cell>
          <cell r="BU471">
            <v>-15231.38</v>
          </cell>
          <cell r="BV471">
            <v>-27772.13</v>
          </cell>
          <cell r="BW471">
            <v>-24352.49</v>
          </cell>
          <cell r="BX471">
            <v>12226.95</v>
          </cell>
          <cell r="BY471">
            <v>-41506.17</v>
          </cell>
          <cell r="BZ471">
            <v>-31055.55</v>
          </cell>
          <cell r="CA471">
            <v>-86279.8</v>
          </cell>
          <cell r="CB471">
            <v>-107029.96</v>
          </cell>
          <cell r="CC471">
            <v>-91803.31</v>
          </cell>
          <cell r="CD471">
            <v>-68588.47</v>
          </cell>
          <cell r="CE471">
            <v>47511.5</v>
          </cell>
          <cell r="CF471">
            <v>-17197.939999999999</v>
          </cell>
          <cell r="CG471">
            <v>105633.96</v>
          </cell>
          <cell r="CH471">
            <v>-57460.87</v>
          </cell>
          <cell r="CI471">
            <v>-958.05</v>
          </cell>
          <cell r="CJ471">
            <v>-9495.9599999999991</v>
          </cell>
          <cell r="CK471">
            <v>-32389.24</v>
          </cell>
          <cell r="CL471">
            <v>-15738.63</v>
          </cell>
          <cell r="CM471">
            <v>-45543.34</v>
          </cell>
          <cell r="CN471">
            <v>-21924.26</v>
          </cell>
          <cell r="CO471">
            <v>-55084.92</v>
          </cell>
          <cell r="CP471">
            <v>-43210.7</v>
          </cell>
          <cell r="CQ471">
            <v>-76985.259999999995</v>
          </cell>
          <cell r="CR471">
            <v>-37342.75</v>
          </cell>
          <cell r="CS471">
            <v>15565.71</v>
          </cell>
          <cell r="CT471">
            <v>8192.2000000000007</v>
          </cell>
          <cell r="CU471">
            <v>21440.799999999999</v>
          </cell>
          <cell r="CV471">
            <v>-34618.61</v>
          </cell>
          <cell r="CW471">
            <v>-57529.21</v>
          </cell>
          <cell r="CX471">
            <v>-72339.990000000005</v>
          </cell>
          <cell r="CY471">
            <v>-33118.6</v>
          </cell>
          <cell r="CZ471">
            <v>-12869.27</v>
          </cell>
          <cell r="DA471">
            <v>23149.87</v>
          </cell>
          <cell r="DB471">
            <v>-87239.26</v>
          </cell>
          <cell r="DC471">
            <v>-81634.34</v>
          </cell>
          <cell r="DD471">
            <v>-68049.56</v>
          </cell>
          <cell r="DE471">
            <v>-26945.96</v>
          </cell>
          <cell r="DF471">
            <v>1714.82</v>
          </cell>
          <cell r="DG471">
            <v>-61341.49</v>
          </cell>
          <cell r="DH471">
            <v>-510821.60000000003</v>
          </cell>
        </row>
        <row r="472">
          <cell r="A472" t="str">
            <v>8700</v>
          </cell>
          <cell r="D472">
            <v>43492.84</v>
          </cell>
          <cell r="E472">
            <v>41819.25</v>
          </cell>
          <cell r="F472">
            <v>147261.51999999999</v>
          </cell>
          <cell r="G472">
            <v>37296.949999999997</v>
          </cell>
          <cell r="H472">
            <v>53436.44</v>
          </cell>
          <cell r="I472">
            <v>66183.8</v>
          </cell>
          <cell r="J472">
            <v>37838.15</v>
          </cell>
          <cell r="K472">
            <v>54557.75</v>
          </cell>
          <cell r="L472">
            <v>38008.82</v>
          </cell>
          <cell r="M472">
            <v>45337.33</v>
          </cell>
          <cell r="N472">
            <v>40300.519999999997</v>
          </cell>
          <cell r="O472">
            <v>50086.94</v>
          </cell>
          <cell r="P472">
            <v>49028.6</v>
          </cell>
          <cell r="Q472">
            <v>44070.5</v>
          </cell>
          <cell r="R472">
            <v>47402.45</v>
          </cell>
          <cell r="S472">
            <v>41623.94</v>
          </cell>
          <cell r="T472">
            <v>55979.86</v>
          </cell>
          <cell r="U472">
            <v>41515.269999999997</v>
          </cell>
          <cell r="V472">
            <v>73700.61</v>
          </cell>
          <cell r="W472">
            <v>42364.19</v>
          </cell>
          <cell r="X472">
            <v>43875.91</v>
          </cell>
          <cell r="Y472">
            <v>40185.54</v>
          </cell>
          <cell r="Z472">
            <v>38448.239999999998</v>
          </cell>
          <cell r="AA472">
            <v>39388.639999999999</v>
          </cell>
          <cell r="AB472">
            <v>38644.42</v>
          </cell>
          <cell r="AC472">
            <v>50751.77</v>
          </cell>
          <cell r="AD472">
            <v>48446.59</v>
          </cell>
          <cell r="AE472">
            <v>58855.01</v>
          </cell>
          <cell r="AF472">
            <v>56993.95</v>
          </cell>
          <cell r="AG472">
            <v>56568.57</v>
          </cell>
          <cell r="AH472">
            <v>48455.92</v>
          </cell>
          <cell r="AI472">
            <v>51141.13</v>
          </cell>
          <cell r="AJ472">
            <v>59016.12</v>
          </cell>
          <cell r="AK472">
            <v>92135.2</v>
          </cell>
          <cell r="AL472">
            <v>69019.360000000001</v>
          </cell>
          <cell r="AM472">
            <v>93147.89</v>
          </cell>
          <cell r="AN472">
            <v>79314.77</v>
          </cell>
          <cell r="AO472">
            <v>67532.98</v>
          </cell>
          <cell r="AP472">
            <v>98077.36</v>
          </cell>
          <cell r="AQ472">
            <v>72081.03</v>
          </cell>
          <cell r="AR472">
            <v>86098.880000000005</v>
          </cell>
          <cell r="AS472">
            <v>85596.86</v>
          </cell>
          <cell r="AT472">
            <v>77916.929999999993</v>
          </cell>
          <cell r="AU472">
            <v>66870.44</v>
          </cell>
          <cell r="AV472">
            <v>78403.399999999994</v>
          </cell>
          <cell r="AW472">
            <v>69160.44</v>
          </cell>
          <cell r="AX472">
            <v>77422.64</v>
          </cell>
          <cell r="AY472">
            <v>75075.009999999995</v>
          </cell>
          <cell r="AZ472">
            <v>77233.990000000005</v>
          </cell>
          <cell r="BA472">
            <v>72034.34</v>
          </cell>
          <cell r="BB472">
            <v>85588.800000000003</v>
          </cell>
          <cell r="BC472">
            <v>89582.26</v>
          </cell>
          <cell r="BD472">
            <v>67274.52</v>
          </cell>
          <cell r="BE472">
            <v>67665.25</v>
          </cell>
          <cell r="BF472">
            <v>68362.899999999994</v>
          </cell>
          <cell r="BG472">
            <v>61590.98</v>
          </cell>
          <cell r="BH472">
            <v>55830.35</v>
          </cell>
          <cell r="BI472">
            <v>66011.83</v>
          </cell>
          <cell r="BJ472">
            <v>50167.62</v>
          </cell>
          <cell r="BK472">
            <v>56792.75</v>
          </cell>
          <cell r="BL472">
            <v>62554.05</v>
          </cell>
          <cell r="BM472">
            <v>68615.02</v>
          </cell>
          <cell r="BN472">
            <v>80173.19</v>
          </cell>
          <cell r="BO472">
            <v>71409.97</v>
          </cell>
          <cell r="BP472">
            <v>74055.509999999995</v>
          </cell>
          <cell r="BQ472">
            <v>85551.15</v>
          </cell>
          <cell r="BR472">
            <v>91649.279999999999</v>
          </cell>
          <cell r="BS472">
            <v>100214.3</v>
          </cell>
          <cell r="BT472">
            <v>79027.759999999995</v>
          </cell>
          <cell r="BU472">
            <v>106863.43</v>
          </cell>
          <cell r="BV472">
            <v>164522.63</v>
          </cell>
          <cell r="BW472">
            <v>164549.82</v>
          </cell>
          <cell r="BX472">
            <v>129920.32000000001</v>
          </cell>
          <cell r="BY472">
            <v>102817.72</v>
          </cell>
          <cell r="BZ472">
            <v>162960.49</v>
          </cell>
          <cell r="CA472">
            <v>112441.28</v>
          </cell>
          <cell r="CB472">
            <v>91275.74</v>
          </cell>
          <cell r="CC472">
            <v>171845.14</v>
          </cell>
          <cell r="CD472">
            <v>74907.59</v>
          </cell>
          <cell r="CE472">
            <v>121252.46</v>
          </cell>
          <cell r="CF472">
            <v>111246.57</v>
          </cell>
          <cell r="CG472">
            <v>123856.32000000001</v>
          </cell>
          <cell r="CH472">
            <v>108030.24</v>
          </cell>
          <cell r="CI472">
            <v>137369.35</v>
          </cell>
          <cell r="CJ472">
            <v>145864.01</v>
          </cell>
          <cell r="CK472">
            <v>86562.64</v>
          </cell>
          <cell r="CL472">
            <v>152522.38</v>
          </cell>
          <cell r="CM472">
            <v>125082.79</v>
          </cell>
          <cell r="CN472">
            <v>124375.55</v>
          </cell>
          <cell r="CO472">
            <v>142845.18</v>
          </cell>
          <cell r="CP472">
            <v>125339.42</v>
          </cell>
          <cell r="CQ472">
            <v>151657.76</v>
          </cell>
          <cell r="CR472">
            <v>122844.24</v>
          </cell>
          <cell r="CS472">
            <v>146656.26999999999</v>
          </cell>
          <cell r="CT472">
            <v>203219.20000000001</v>
          </cell>
          <cell r="CU472">
            <v>89633.33</v>
          </cell>
          <cell r="CV472">
            <v>142515.82999999999</v>
          </cell>
          <cell r="CW472">
            <v>155142.29</v>
          </cell>
          <cell r="CX472">
            <v>125809.12</v>
          </cell>
          <cell r="CY472">
            <v>162589.93</v>
          </cell>
          <cell r="CZ472">
            <v>93546.5</v>
          </cell>
          <cell r="DA472">
            <v>151080.56</v>
          </cell>
          <cell r="DB472">
            <v>145540.25</v>
          </cell>
          <cell r="DC472">
            <v>170995.84</v>
          </cell>
          <cell r="DD472">
            <v>130337.72</v>
          </cell>
          <cell r="DE472">
            <v>121717.98</v>
          </cell>
          <cell r="DF472">
            <v>167320.6</v>
          </cell>
          <cell r="DG472">
            <v>116699.71</v>
          </cell>
          <cell r="DH472">
            <v>1683296.33</v>
          </cell>
        </row>
        <row r="473">
          <cell r="A473" t="str">
            <v>8710</v>
          </cell>
          <cell r="D473">
            <v>34881.199999999997</v>
          </cell>
          <cell r="E473">
            <v>32550.1</v>
          </cell>
          <cell r="F473">
            <v>33040.1</v>
          </cell>
          <cell r="G473">
            <v>21284.83</v>
          </cell>
          <cell r="H473">
            <v>7073.04</v>
          </cell>
          <cell r="I473">
            <v>6326.14</v>
          </cell>
          <cell r="J473">
            <v>31055.23</v>
          </cell>
          <cell r="K473">
            <v>25154.16</v>
          </cell>
          <cell r="L473">
            <v>26430.3</v>
          </cell>
          <cell r="M473">
            <v>21620.47</v>
          </cell>
          <cell r="N473">
            <v>23087.09</v>
          </cell>
          <cell r="O473">
            <v>25906</v>
          </cell>
          <cell r="P473">
            <v>24727.08</v>
          </cell>
          <cell r="Q473">
            <v>20098.38</v>
          </cell>
          <cell r="R473">
            <v>22885.37</v>
          </cell>
          <cell r="S473">
            <v>26635.1</v>
          </cell>
          <cell r="T473">
            <v>30668.47</v>
          </cell>
          <cell r="U473">
            <v>52351.69</v>
          </cell>
          <cell r="V473">
            <v>25236.880000000001</v>
          </cell>
          <cell r="W473">
            <v>54964.38</v>
          </cell>
          <cell r="X473">
            <v>36225.67</v>
          </cell>
          <cell r="Y473">
            <v>35192.18</v>
          </cell>
          <cell r="Z473">
            <v>31951.67</v>
          </cell>
          <cell r="AA473">
            <v>70915.179999999993</v>
          </cell>
          <cell r="AB473">
            <v>27862.5</v>
          </cell>
          <cell r="AC473">
            <v>25161.45</v>
          </cell>
          <cell r="AD473">
            <v>26728.76</v>
          </cell>
          <cell r="AE473">
            <v>30365.79</v>
          </cell>
          <cell r="AF473">
            <v>38584.339999999997</v>
          </cell>
          <cell r="AG473">
            <v>91852.31</v>
          </cell>
          <cell r="AH473">
            <v>29087.56</v>
          </cell>
          <cell r="AI473">
            <v>29207.58</v>
          </cell>
          <cell r="AJ473">
            <v>32363.27</v>
          </cell>
          <cell r="AK473">
            <v>27179.22</v>
          </cell>
          <cell r="AL473">
            <v>66702.48</v>
          </cell>
          <cell r="AM473">
            <v>32131.13</v>
          </cell>
          <cell r="AN473">
            <v>39919.19</v>
          </cell>
          <cell r="AO473">
            <v>31438.85</v>
          </cell>
          <cell r="AP473">
            <v>39056.97</v>
          </cell>
          <cell r="AQ473">
            <v>34115.760000000002</v>
          </cell>
          <cell r="AR473">
            <v>31686.11</v>
          </cell>
          <cell r="AS473">
            <v>32497.47</v>
          </cell>
          <cell r="AT473">
            <v>36185.93</v>
          </cell>
          <cell r="AU473">
            <v>30773.8</v>
          </cell>
          <cell r="AV473">
            <v>32942.620000000003</v>
          </cell>
          <cell r="AW473">
            <v>31337.09</v>
          </cell>
          <cell r="AX473">
            <v>29756.83</v>
          </cell>
          <cell r="AY473">
            <v>39385.769999999997</v>
          </cell>
          <cell r="AZ473">
            <v>44181.96</v>
          </cell>
          <cell r="BA473">
            <v>29973.67</v>
          </cell>
          <cell r="BB473">
            <v>31893.73</v>
          </cell>
          <cell r="BC473">
            <v>38907.26</v>
          </cell>
          <cell r="BD473">
            <v>38456.949999999997</v>
          </cell>
          <cell r="BE473">
            <v>36763.69</v>
          </cell>
          <cell r="BF473">
            <v>43246.559999999998</v>
          </cell>
          <cell r="BG473">
            <v>35653.660000000003</v>
          </cell>
          <cell r="BH473">
            <v>49582.78</v>
          </cell>
          <cell r="BI473">
            <v>31573.94</v>
          </cell>
          <cell r="BJ473">
            <v>42277.05</v>
          </cell>
          <cell r="BK473">
            <v>35103.35</v>
          </cell>
          <cell r="BL473">
            <v>36523.919999999998</v>
          </cell>
          <cell r="BM473">
            <v>25711.98</v>
          </cell>
          <cell r="BN473">
            <v>30548.98</v>
          </cell>
          <cell r="BO473">
            <v>34225.33</v>
          </cell>
          <cell r="BP473">
            <v>30023.01</v>
          </cell>
          <cell r="BQ473">
            <v>29493.34</v>
          </cell>
          <cell r="BR473">
            <v>32638.1</v>
          </cell>
          <cell r="BS473">
            <v>30805.78</v>
          </cell>
          <cell r="BT473">
            <v>30561.33</v>
          </cell>
          <cell r="BU473">
            <v>46789.68</v>
          </cell>
          <cell r="BV473">
            <v>57451.93</v>
          </cell>
          <cell r="BW473">
            <v>65754.41</v>
          </cell>
          <cell r="BX473">
            <v>38679.18</v>
          </cell>
          <cell r="BY473">
            <v>39463.440000000002</v>
          </cell>
          <cell r="BZ473">
            <v>45655.44</v>
          </cell>
          <cell r="CA473">
            <v>35737.339999999997</v>
          </cell>
          <cell r="CB473">
            <v>6029.75</v>
          </cell>
          <cell r="CC473">
            <v>31034.3</v>
          </cell>
          <cell r="CD473">
            <v>36208.85</v>
          </cell>
          <cell r="CE473">
            <v>37561.410000000003</v>
          </cell>
          <cell r="CF473">
            <v>26578.77</v>
          </cell>
          <cell r="CG473">
            <v>27728.73</v>
          </cell>
          <cell r="CH473">
            <v>26528.46</v>
          </cell>
          <cell r="CI473">
            <v>43344.77</v>
          </cell>
          <cell r="CJ473">
            <v>47859.91</v>
          </cell>
          <cell r="CK473">
            <v>27577.02</v>
          </cell>
          <cell r="CL473">
            <v>41770.1</v>
          </cell>
          <cell r="CM473">
            <v>29610.25</v>
          </cell>
          <cell r="CN473">
            <v>32767.49</v>
          </cell>
          <cell r="CO473">
            <v>38290.31</v>
          </cell>
          <cell r="CP473">
            <v>40606.400000000001</v>
          </cell>
          <cell r="CQ473">
            <v>40722.03</v>
          </cell>
          <cell r="CR473">
            <v>37455.300000000003</v>
          </cell>
          <cell r="CS473">
            <v>37881.42</v>
          </cell>
          <cell r="CT473">
            <v>43002.04</v>
          </cell>
          <cell r="CU473">
            <v>40475.47</v>
          </cell>
          <cell r="CV473">
            <v>39645.410000000003</v>
          </cell>
          <cell r="CW473">
            <v>34152.42</v>
          </cell>
          <cell r="CX473">
            <v>35697.32</v>
          </cell>
          <cell r="CY473">
            <v>39577.089999999997</v>
          </cell>
          <cell r="CZ473">
            <v>34893.19</v>
          </cell>
          <cell r="DA473">
            <v>40825.21</v>
          </cell>
          <cell r="DB473">
            <v>48693.94</v>
          </cell>
          <cell r="DC473">
            <v>62593.35</v>
          </cell>
          <cell r="DD473">
            <v>47162.35</v>
          </cell>
          <cell r="DE473">
            <v>42546.39</v>
          </cell>
          <cell r="DF473">
            <v>43512.23</v>
          </cell>
          <cell r="DG473">
            <v>39170.6</v>
          </cell>
          <cell r="DH473">
            <v>508469.49999999988</v>
          </cell>
        </row>
        <row r="474">
          <cell r="A474" t="str">
            <v>8720</v>
          </cell>
          <cell r="D474">
            <v>0</v>
          </cell>
          <cell r="E474">
            <v>429.54</v>
          </cell>
          <cell r="F474">
            <v>0</v>
          </cell>
          <cell r="G474">
            <v>0</v>
          </cell>
          <cell r="H474">
            <v>0</v>
          </cell>
          <cell r="I474">
            <v>0</v>
          </cell>
          <cell r="J474">
            <v>0</v>
          </cell>
          <cell r="K474">
            <v>0</v>
          </cell>
          <cell r="L474">
            <v>0</v>
          </cell>
          <cell r="M474">
            <v>0</v>
          </cell>
          <cell r="N474">
            <v>0</v>
          </cell>
          <cell r="O474">
            <v>0</v>
          </cell>
          <cell r="P474">
            <v>0</v>
          </cell>
          <cell r="Q474">
            <v>0</v>
          </cell>
          <cell r="R474">
            <v>1745.71</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891.38</v>
          </cell>
          <cell r="AN474">
            <v>0</v>
          </cell>
          <cell r="AO474">
            <v>0</v>
          </cell>
          <cell r="AP474">
            <v>310.02999999999997</v>
          </cell>
          <cell r="AQ474">
            <v>0</v>
          </cell>
          <cell r="AR474">
            <v>0</v>
          </cell>
          <cell r="AS474">
            <v>3463.56</v>
          </cell>
          <cell r="AT474">
            <v>-210</v>
          </cell>
          <cell r="AU474">
            <v>455</v>
          </cell>
          <cell r="AV474">
            <v>-70</v>
          </cell>
          <cell r="AW474">
            <v>0</v>
          </cell>
          <cell r="AX474">
            <v>0</v>
          </cell>
          <cell r="AY474">
            <v>0</v>
          </cell>
          <cell r="AZ474">
            <v>5630.49</v>
          </cell>
          <cell r="BA474">
            <v>23418.54</v>
          </cell>
          <cell r="BB474">
            <v>13869.29</v>
          </cell>
          <cell r="BC474">
            <v>17349.810000000001</v>
          </cell>
          <cell r="BD474">
            <v>26737.73</v>
          </cell>
          <cell r="BE474">
            <v>2643.58</v>
          </cell>
          <cell r="BF474">
            <v>1131.8900000000001</v>
          </cell>
          <cell r="BG474">
            <v>-3257.45</v>
          </cell>
          <cell r="BH474">
            <v>3373.9</v>
          </cell>
          <cell r="BI474">
            <v>2306.98</v>
          </cell>
          <cell r="BJ474">
            <v>2509.64</v>
          </cell>
          <cell r="BK474">
            <v>2853.72</v>
          </cell>
          <cell r="BL474">
            <v>2967.18</v>
          </cell>
          <cell r="BM474">
            <v>2086.16</v>
          </cell>
          <cell r="BN474">
            <v>3844.25</v>
          </cell>
          <cell r="BO474">
            <v>2425.9899999999998</v>
          </cell>
          <cell r="BP474">
            <v>3279.12</v>
          </cell>
          <cell r="BQ474">
            <v>1475.86</v>
          </cell>
          <cell r="BR474">
            <v>181.94</v>
          </cell>
          <cell r="BS474">
            <v>286.77</v>
          </cell>
          <cell r="BT474">
            <v>-421.37</v>
          </cell>
          <cell r="BU474">
            <v>463.03</v>
          </cell>
          <cell r="BV474">
            <v>938.81</v>
          </cell>
          <cell r="BW474">
            <v>2714.13</v>
          </cell>
          <cell r="BX474">
            <v>1395.46</v>
          </cell>
          <cell r="BY474">
            <v>0</v>
          </cell>
          <cell r="BZ474">
            <v>0</v>
          </cell>
          <cell r="CA474">
            <v>0</v>
          </cell>
          <cell r="CB474">
            <v>0</v>
          </cell>
          <cell r="CC474">
            <v>0</v>
          </cell>
          <cell r="CD474">
            <v>0</v>
          </cell>
          <cell r="CE474">
            <v>0</v>
          </cell>
          <cell r="CF474">
            <v>0</v>
          </cell>
          <cell r="CG474">
            <v>0</v>
          </cell>
          <cell r="CH474">
            <v>0</v>
          </cell>
          <cell r="CI474">
            <v>17.97</v>
          </cell>
          <cell r="CJ474">
            <v>36.93</v>
          </cell>
          <cell r="CK474">
            <v>16703.599999999999</v>
          </cell>
          <cell r="CL474">
            <v>-16703.599999999999</v>
          </cell>
          <cell r="CM474">
            <v>19050.810000000001</v>
          </cell>
          <cell r="CN474">
            <v>0</v>
          </cell>
          <cell r="CO474">
            <v>38000</v>
          </cell>
          <cell r="CP474">
            <v>337</v>
          </cell>
          <cell r="CQ474">
            <v>7334.14</v>
          </cell>
          <cell r="CR474">
            <v>107745.53</v>
          </cell>
          <cell r="CS474">
            <v>-20386.919999999998</v>
          </cell>
          <cell r="CT474">
            <v>11039.37</v>
          </cell>
          <cell r="CU474">
            <v>36064.019999999997</v>
          </cell>
          <cell r="CV474">
            <v>51584.2</v>
          </cell>
          <cell r="CW474">
            <v>14706.69</v>
          </cell>
          <cell r="CX474">
            <v>15373.35</v>
          </cell>
          <cell r="CY474">
            <v>58409.55</v>
          </cell>
          <cell r="CZ474">
            <v>77850.27</v>
          </cell>
          <cell r="DA474">
            <v>11159.51</v>
          </cell>
          <cell r="DB474">
            <v>37420.14</v>
          </cell>
          <cell r="DC474">
            <v>54865.84</v>
          </cell>
          <cell r="DD474">
            <v>12065.62</v>
          </cell>
          <cell r="DE474">
            <v>19389.5</v>
          </cell>
          <cell r="DF474">
            <v>89058.99</v>
          </cell>
          <cell r="DG474">
            <v>37014.1</v>
          </cell>
          <cell r="DH474">
            <v>478897.76</v>
          </cell>
        </row>
        <row r="475">
          <cell r="A475" t="str">
            <v>8730</v>
          </cell>
          <cell r="D475">
            <v>0</v>
          </cell>
          <cell r="E475">
            <v>0</v>
          </cell>
          <cell r="F475">
            <v>0</v>
          </cell>
          <cell r="G475">
            <v>0</v>
          </cell>
          <cell r="H475">
            <v>0</v>
          </cell>
          <cell r="I475">
            <v>0</v>
          </cell>
          <cell r="J475">
            <v>87.7</v>
          </cell>
          <cell r="K475">
            <v>0</v>
          </cell>
          <cell r="L475">
            <v>0</v>
          </cell>
          <cell r="M475">
            <v>0</v>
          </cell>
          <cell r="N475">
            <v>0</v>
          </cell>
          <cell r="O475">
            <v>0</v>
          </cell>
          <cell r="P475">
            <v>0</v>
          </cell>
          <cell r="Q475">
            <v>0</v>
          </cell>
          <cell r="R475">
            <v>4340.45</v>
          </cell>
          <cell r="S475">
            <v>0</v>
          </cell>
          <cell r="T475">
            <v>0</v>
          </cell>
          <cell r="U475">
            <v>0</v>
          </cell>
          <cell r="V475">
            <v>0</v>
          </cell>
          <cell r="W475">
            <v>193.98</v>
          </cell>
          <cell r="X475">
            <v>73.040000000000006</v>
          </cell>
          <cell r="Y475">
            <v>13.39</v>
          </cell>
          <cell r="Z475">
            <v>499.35</v>
          </cell>
          <cell r="AA475">
            <v>2.87</v>
          </cell>
          <cell r="AB475">
            <v>3.51</v>
          </cell>
          <cell r="AC475">
            <v>14.01</v>
          </cell>
          <cell r="AD475">
            <v>2.23</v>
          </cell>
          <cell r="AE475">
            <v>139.51</v>
          </cell>
          <cell r="AF475">
            <v>71.680000000000007</v>
          </cell>
          <cell r="AG475">
            <v>21.41</v>
          </cell>
          <cell r="AH475">
            <v>48.12</v>
          </cell>
          <cell r="AI475">
            <v>118.51</v>
          </cell>
          <cell r="AJ475">
            <v>2325.59</v>
          </cell>
          <cell r="AK475">
            <v>1077.07</v>
          </cell>
          <cell r="AL475">
            <v>234.69</v>
          </cell>
          <cell r="AM475">
            <v>461.09</v>
          </cell>
          <cell r="AN475">
            <v>2349.9</v>
          </cell>
          <cell r="AO475">
            <v>1654.81</v>
          </cell>
          <cell r="AP475">
            <v>542.12</v>
          </cell>
          <cell r="AQ475">
            <v>297.35000000000002</v>
          </cell>
          <cell r="AR475">
            <v>663.75</v>
          </cell>
          <cell r="AS475">
            <v>1738.58</v>
          </cell>
          <cell r="AT475">
            <v>2379.77</v>
          </cell>
          <cell r="AU475">
            <v>808.61</v>
          </cell>
          <cell r="AV475">
            <v>1508.02</v>
          </cell>
          <cell r="AW475">
            <v>1648.58</v>
          </cell>
          <cell r="AX475">
            <v>1602.93</v>
          </cell>
          <cell r="AY475">
            <v>2052.77</v>
          </cell>
          <cell r="AZ475">
            <v>4076.15</v>
          </cell>
          <cell r="BA475">
            <v>712.4</v>
          </cell>
          <cell r="BB475">
            <v>213.97</v>
          </cell>
          <cell r="BC475">
            <v>488.05</v>
          </cell>
          <cell r="BD475">
            <v>-8263.25</v>
          </cell>
          <cell r="BE475">
            <v>820.82</v>
          </cell>
          <cell r="BF475">
            <v>132.18</v>
          </cell>
          <cell r="BG475">
            <v>613.11</v>
          </cell>
          <cell r="BH475">
            <v>410.04</v>
          </cell>
          <cell r="BI475">
            <v>0</v>
          </cell>
          <cell r="BJ475">
            <v>0</v>
          </cell>
          <cell r="BK475">
            <v>0</v>
          </cell>
          <cell r="BL475">
            <v>0</v>
          </cell>
          <cell r="BM475">
            <v>0</v>
          </cell>
          <cell r="BN475">
            <v>68.290000000000006</v>
          </cell>
          <cell r="BO475">
            <v>0</v>
          </cell>
          <cell r="BP475">
            <v>45.15</v>
          </cell>
          <cell r="BQ475">
            <v>0</v>
          </cell>
          <cell r="BR475">
            <v>0</v>
          </cell>
          <cell r="BS475">
            <v>0</v>
          </cell>
          <cell r="BT475">
            <v>0</v>
          </cell>
          <cell r="BU475">
            <v>0</v>
          </cell>
          <cell r="BV475">
            <v>6800.67</v>
          </cell>
          <cell r="BW475">
            <v>0</v>
          </cell>
          <cell r="BX475">
            <v>0</v>
          </cell>
          <cell r="BY475">
            <v>0</v>
          </cell>
          <cell r="BZ475">
            <v>29370.5</v>
          </cell>
          <cell r="CA475">
            <v>-29370.5</v>
          </cell>
          <cell r="CB475">
            <v>0</v>
          </cell>
          <cell r="CC475">
            <v>0</v>
          </cell>
          <cell r="CD475">
            <v>1402.82</v>
          </cell>
          <cell r="CE475">
            <v>1309.6400000000001</v>
          </cell>
          <cell r="CF475">
            <v>-1547.94</v>
          </cell>
          <cell r="CG475">
            <v>0</v>
          </cell>
          <cell r="CH475">
            <v>0</v>
          </cell>
          <cell r="CI475">
            <v>198.97</v>
          </cell>
          <cell r="CJ475">
            <v>0</v>
          </cell>
          <cell r="CK475">
            <v>111.65</v>
          </cell>
          <cell r="CL475">
            <v>0</v>
          </cell>
          <cell r="CM475">
            <v>8879.4599999999991</v>
          </cell>
          <cell r="CN475">
            <v>0</v>
          </cell>
          <cell r="CO475">
            <v>5038.8999999999996</v>
          </cell>
          <cell r="CP475">
            <v>2440.64</v>
          </cell>
          <cell r="CQ475">
            <v>0</v>
          </cell>
          <cell r="CR475">
            <v>5835.64</v>
          </cell>
          <cell r="CS475">
            <v>2703.55</v>
          </cell>
          <cell r="CT475">
            <v>0</v>
          </cell>
          <cell r="CU475">
            <v>303.68</v>
          </cell>
          <cell r="CV475">
            <v>2263.3200000000002</v>
          </cell>
          <cell r="CW475">
            <v>5354.49</v>
          </cell>
          <cell r="CX475">
            <v>0</v>
          </cell>
          <cell r="CY475">
            <v>13762.56</v>
          </cell>
          <cell r="CZ475">
            <v>0</v>
          </cell>
          <cell r="DA475">
            <v>3751.5</v>
          </cell>
          <cell r="DB475">
            <v>3571.58</v>
          </cell>
          <cell r="DC475">
            <v>3914.69</v>
          </cell>
          <cell r="DD475">
            <v>4008.9</v>
          </cell>
          <cell r="DE475">
            <v>4044.19</v>
          </cell>
          <cell r="DF475">
            <v>4164.43</v>
          </cell>
          <cell r="DG475">
            <v>4213.13</v>
          </cell>
          <cell r="DH475">
            <v>49048.789999999994</v>
          </cell>
        </row>
        <row r="476">
          <cell r="A476" t="str">
            <v>8740</v>
          </cell>
          <cell r="D476">
            <v>577089.72</v>
          </cell>
          <cell r="E476">
            <v>639014.15</v>
          </cell>
          <cell r="F476">
            <v>585154.23</v>
          </cell>
          <cell r="G476">
            <v>535565.94999999995</v>
          </cell>
          <cell r="H476">
            <v>593598.56999999995</v>
          </cell>
          <cell r="I476">
            <v>547717.12</v>
          </cell>
          <cell r="J476">
            <v>580745.89</v>
          </cell>
          <cell r="K476">
            <v>549414.79</v>
          </cell>
          <cell r="L476">
            <v>577788.25</v>
          </cell>
          <cell r="M476">
            <v>523465.04</v>
          </cell>
          <cell r="N476">
            <v>456297.06</v>
          </cell>
          <cell r="O476">
            <v>492865.18</v>
          </cell>
          <cell r="P476">
            <v>491978.62</v>
          </cell>
          <cell r="Q476">
            <v>502210.18</v>
          </cell>
          <cell r="R476">
            <v>612472.02</v>
          </cell>
          <cell r="S476">
            <v>607688.39</v>
          </cell>
          <cell r="T476">
            <v>605333.89</v>
          </cell>
          <cell r="U476">
            <v>592371.18000000005</v>
          </cell>
          <cell r="V476">
            <v>581629.1</v>
          </cell>
          <cell r="W476">
            <v>596842.81000000006</v>
          </cell>
          <cell r="X476">
            <v>599453.13</v>
          </cell>
          <cell r="Y476">
            <v>615791.30000000005</v>
          </cell>
          <cell r="Z476">
            <v>578046.06000000006</v>
          </cell>
          <cell r="AA476">
            <v>666579.26</v>
          </cell>
          <cell r="AB476">
            <v>611899.77</v>
          </cell>
          <cell r="AC476">
            <v>604586.18999999994</v>
          </cell>
          <cell r="AD476">
            <v>673294.15</v>
          </cell>
          <cell r="AE476">
            <v>615430.79</v>
          </cell>
          <cell r="AF476">
            <v>610905.92000000004</v>
          </cell>
          <cell r="AG476">
            <v>725723.89</v>
          </cell>
          <cell r="AH476">
            <v>600609.31999999995</v>
          </cell>
          <cell r="AI476">
            <v>663406.97</v>
          </cell>
          <cell r="AJ476">
            <v>659454.43999999994</v>
          </cell>
          <cell r="AK476">
            <v>676768.26</v>
          </cell>
          <cell r="AL476">
            <v>707508.2</v>
          </cell>
          <cell r="AM476">
            <v>919355.54</v>
          </cell>
          <cell r="AN476">
            <v>642502.97</v>
          </cell>
          <cell r="AO476">
            <v>642809.19999999995</v>
          </cell>
          <cell r="AP476">
            <v>646141.41</v>
          </cell>
          <cell r="AQ476">
            <v>632477.06999999995</v>
          </cell>
          <cell r="AR476">
            <v>636917.56999999995</v>
          </cell>
          <cell r="AS476">
            <v>686248.89</v>
          </cell>
          <cell r="AT476">
            <v>656910.18000000005</v>
          </cell>
          <cell r="AU476">
            <v>651650.27</v>
          </cell>
          <cell r="AV476">
            <v>574320.67000000004</v>
          </cell>
          <cell r="AW476">
            <v>658870.54</v>
          </cell>
          <cell r="AX476">
            <v>661221.9</v>
          </cell>
          <cell r="AY476">
            <v>670675.04</v>
          </cell>
          <cell r="AZ476">
            <v>592515.17000000004</v>
          </cell>
          <cell r="BA476">
            <v>620235.99</v>
          </cell>
          <cell r="BB476">
            <v>661419.51</v>
          </cell>
          <cell r="BC476">
            <v>723425.51</v>
          </cell>
          <cell r="BD476">
            <v>737264.16</v>
          </cell>
          <cell r="BE476">
            <v>685064.94</v>
          </cell>
          <cell r="BF476">
            <v>663274.48</v>
          </cell>
          <cell r="BG476">
            <v>729481.75</v>
          </cell>
          <cell r="BH476">
            <v>639103.05000000005</v>
          </cell>
          <cell r="BI476">
            <v>478572.13</v>
          </cell>
          <cell r="BJ476">
            <v>563795.5</v>
          </cell>
          <cell r="BK476">
            <v>672214.19</v>
          </cell>
          <cell r="BL476">
            <v>703722.93</v>
          </cell>
          <cell r="BM476">
            <v>741128.44</v>
          </cell>
          <cell r="BN476">
            <v>762680.58</v>
          </cell>
          <cell r="BO476">
            <v>825224.5</v>
          </cell>
          <cell r="BP476">
            <v>787513.25</v>
          </cell>
          <cell r="BQ476">
            <v>726816.15</v>
          </cell>
          <cell r="BR476">
            <v>766685.67</v>
          </cell>
          <cell r="BS476">
            <v>826164.97</v>
          </cell>
          <cell r="BT476">
            <v>771566.38</v>
          </cell>
          <cell r="BU476">
            <v>833338.42</v>
          </cell>
          <cell r="BV476">
            <v>752929.52</v>
          </cell>
          <cell r="BW476">
            <v>1115412.76</v>
          </cell>
          <cell r="BX476">
            <v>863020.97</v>
          </cell>
          <cell r="BY476">
            <v>766890.42</v>
          </cell>
          <cell r="BZ476">
            <v>991112.09</v>
          </cell>
          <cell r="CA476">
            <v>831704.98</v>
          </cell>
          <cell r="CB476">
            <v>844095.83</v>
          </cell>
          <cell r="CC476">
            <v>823697.11</v>
          </cell>
          <cell r="CD476">
            <v>862478.47</v>
          </cell>
          <cell r="CE476">
            <v>856408.76</v>
          </cell>
          <cell r="CF476">
            <v>910899</v>
          </cell>
          <cell r="CG476">
            <v>800414.17</v>
          </cell>
          <cell r="CH476">
            <v>805610.1</v>
          </cell>
          <cell r="CI476">
            <v>905910.14</v>
          </cell>
          <cell r="CJ476">
            <v>768608.13</v>
          </cell>
          <cell r="CK476">
            <v>764033.2</v>
          </cell>
          <cell r="CL476">
            <v>951619.33</v>
          </cell>
          <cell r="CM476">
            <v>945528.75</v>
          </cell>
          <cell r="CN476">
            <v>847910.23</v>
          </cell>
          <cell r="CO476">
            <v>946097.2</v>
          </cell>
          <cell r="CP476">
            <v>948990.03</v>
          </cell>
          <cell r="CQ476">
            <v>836325.01</v>
          </cell>
          <cell r="CR476">
            <v>844625.04</v>
          </cell>
          <cell r="CS476">
            <v>888791.38</v>
          </cell>
          <cell r="CT476">
            <v>926458.65</v>
          </cell>
          <cell r="CU476">
            <v>977594.36</v>
          </cell>
          <cell r="CV476">
            <v>879586.48</v>
          </cell>
          <cell r="CW476">
            <v>920585.12</v>
          </cell>
          <cell r="CX476">
            <v>1060566.79</v>
          </cell>
          <cell r="CY476">
            <v>933709.52</v>
          </cell>
          <cell r="CZ476">
            <v>1083636.22</v>
          </cell>
          <cell r="DA476">
            <v>1034935.47</v>
          </cell>
          <cell r="DB476">
            <v>1002026.91</v>
          </cell>
          <cell r="DC476">
            <v>1293701.5900000001</v>
          </cell>
          <cell r="DD476">
            <v>989366.94</v>
          </cell>
          <cell r="DE476">
            <v>882579</v>
          </cell>
          <cell r="DF476">
            <v>1031563.71</v>
          </cell>
          <cell r="DG476">
            <v>758468.64</v>
          </cell>
          <cell r="DH476">
            <v>11870726.390000001</v>
          </cell>
        </row>
        <row r="477">
          <cell r="A477" t="str">
            <v>8750</v>
          </cell>
          <cell r="D477">
            <v>4024.59</v>
          </cell>
          <cell r="E477">
            <v>2741.74</v>
          </cell>
          <cell r="F477">
            <v>4287.5200000000004</v>
          </cell>
          <cell r="G477">
            <v>5819.1</v>
          </cell>
          <cell r="H477">
            <v>10690.28</v>
          </cell>
          <cell r="I477">
            <v>6663.8</v>
          </cell>
          <cell r="J477">
            <v>9295.24</v>
          </cell>
          <cell r="K477">
            <v>1469.67</v>
          </cell>
          <cell r="L477">
            <v>5713.23</v>
          </cell>
          <cell r="M477">
            <v>6751.13</v>
          </cell>
          <cell r="N477">
            <v>6070.78</v>
          </cell>
          <cell r="O477">
            <v>2860.94</v>
          </cell>
          <cell r="P477">
            <v>2490.9699999999998</v>
          </cell>
          <cell r="Q477">
            <v>4243.43</v>
          </cell>
          <cell r="R477">
            <v>2332.2800000000002</v>
          </cell>
          <cell r="S477">
            <v>14815.01</v>
          </cell>
          <cell r="T477">
            <v>8065.9</v>
          </cell>
          <cell r="U477">
            <v>9384.94</v>
          </cell>
          <cell r="V477">
            <v>5152.1400000000003</v>
          </cell>
          <cell r="W477">
            <v>7338.77</v>
          </cell>
          <cell r="X477">
            <v>5934.94</v>
          </cell>
          <cell r="Y477">
            <v>7101.27</v>
          </cell>
          <cell r="Z477">
            <v>3559.66</v>
          </cell>
          <cell r="AA477">
            <v>2268.4699999999998</v>
          </cell>
          <cell r="AB477">
            <v>2789.29</v>
          </cell>
          <cell r="AC477">
            <v>7802.73</v>
          </cell>
          <cell r="AD477">
            <v>3262.36</v>
          </cell>
          <cell r="AE477">
            <v>3362.92</v>
          </cell>
          <cell r="AF477">
            <v>1327.7</v>
          </cell>
          <cell r="AG477">
            <v>3140.07</v>
          </cell>
          <cell r="AH477">
            <v>911.53</v>
          </cell>
          <cell r="AI477">
            <v>1028.6300000000001</v>
          </cell>
          <cell r="AJ477">
            <v>6497.92</v>
          </cell>
          <cell r="AK477">
            <v>397</v>
          </cell>
          <cell r="AL477">
            <v>1040.03</v>
          </cell>
          <cell r="AM477">
            <v>646.52</v>
          </cell>
          <cell r="AN477">
            <v>957.36</v>
          </cell>
          <cell r="AO477">
            <v>463.65</v>
          </cell>
          <cell r="AP477">
            <v>4488.3999999999996</v>
          </cell>
          <cell r="AQ477">
            <v>1288.5</v>
          </cell>
          <cell r="AR477">
            <v>529.44000000000005</v>
          </cell>
          <cell r="AS477">
            <v>2195.7199999999998</v>
          </cell>
          <cell r="AT477">
            <v>1600</v>
          </cell>
          <cell r="AU477">
            <v>4108.46</v>
          </cell>
          <cell r="AV477">
            <v>2161.0300000000002</v>
          </cell>
          <cell r="AW477">
            <v>5832.41</v>
          </cell>
          <cell r="AX477">
            <v>5780.47</v>
          </cell>
          <cell r="AY477">
            <v>2237.61</v>
          </cell>
          <cell r="AZ477">
            <v>609.24</v>
          </cell>
          <cell r="BA477">
            <v>5925.03</v>
          </cell>
          <cell r="BB477">
            <v>2220.65</v>
          </cell>
          <cell r="BC477">
            <v>1409.4</v>
          </cell>
          <cell r="BD477">
            <v>2519.23</v>
          </cell>
          <cell r="BE477">
            <v>473.79</v>
          </cell>
          <cell r="BF477">
            <v>484</v>
          </cell>
          <cell r="BG477">
            <v>1760.72</v>
          </cell>
          <cell r="BH477">
            <v>294.38</v>
          </cell>
          <cell r="BI477">
            <v>11.2</v>
          </cell>
          <cell r="BJ477">
            <v>762.67</v>
          </cell>
          <cell r="BK477">
            <v>158.99</v>
          </cell>
          <cell r="BL477">
            <v>16.2</v>
          </cell>
          <cell r="BM477">
            <v>4985.09</v>
          </cell>
          <cell r="BN477">
            <v>7042.14</v>
          </cell>
          <cell r="BO477">
            <v>389.58</v>
          </cell>
          <cell r="BP477">
            <v>1802.89</v>
          </cell>
          <cell r="BQ477">
            <v>867.75</v>
          </cell>
          <cell r="BR477">
            <v>2106.54</v>
          </cell>
          <cell r="BS477">
            <v>2972.04</v>
          </cell>
          <cell r="BT477">
            <v>1206.2</v>
          </cell>
          <cell r="BU477">
            <v>4626.8100000000004</v>
          </cell>
          <cell r="BV477">
            <v>2818.03</v>
          </cell>
          <cell r="BW477">
            <v>11702.39</v>
          </cell>
          <cell r="BX477">
            <v>5631.3</v>
          </cell>
          <cell r="BY477">
            <v>2019.48</v>
          </cell>
          <cell r="BZ477">
            <v>3323.83</v>
          </cell>
          <cell r="CA477">
            <v>4776.3999999999996</v>
          </cell>
          <cell r="CB477">
            <v>1796.43</v>
          </cell>
          <cell r="CC477">
            <v>1855.29</v>
          </cell>
          <cell r="CD477">
            <v>12973.46</v>
          </cell>
          <cell r="CE477">
            <v>5746.47</v>
          </cell>
          <cell r="CF477">
            <v>-181.7</v>
          </cell>
          <cell r="CG477">
            <v>397.01</v>
          </cell>
          <cell r="CH477">
            <v>3801.16</v>
          </cell>
          <cell r="CI477">
            <v>4900.88</v>
          </cell>
          <cell r="CJ477">
            <v>1271.53</v>
          </cell>
          <cell r="CK477">
            <v>3061.75</v>
          </cell>
          <cell r="CL477">
            <v>7968.62</v>
          </cell>
          <cell r="CM477">
            <v>696.77</v>
          </cell>
          <cell r="CN477">
            <v>3904.78</v>
          </cell>
          <cell r="CO477">
            <v>284.18</v>
          </cell>
          <cell r="CP477">
            <v>2861.93</v>
          </cell>
          <cell r="CQ477">
            <v>336.96</v>
          </cell>
          <cell r="CR477">
            <v>1167.49</v>
          </cell>
          <cell r="CS477">
            <v>2608.89</v>
          </cell>
          <cell r="CT477">
            <v>1398.31</v>
          </cell>
          <cell r="CU477">
            <v>411.74</v>
          </cell>
          <cell r="CV477">
            <v>757.71</v>
          </cell>
          <cell r="CW477">
            <v>3259.99</v>
          </cell>
          <cell r="CX477">
            <v>3660.78</v>
          </cell>
          <cell r="CY477">
            <v>7423.82</v>
          </cell>
          <cell r="CZ477">
            <v>2780.25</v>
          </cell>
          <cell r="DA477">
            <v>1757.14</v>
          </cell>
          <cell r="DB477">
            <v>1996.94</v>
          </cell>
          <cell r="DC477">
            <v>54855.37</v>
          </cell>
          <cell r="DD477">
            <v>-50506.44</v>
          </cell>
          <cell r="DE477">
            <v>1508.92</v>
          </cell>
          <cell r="DF477">
            <v>853.48</v>
          </cell>
          <cell r="DG477">
            <v>531.15</v>
          </cell>
          <cell r="DH477">
            <v>28879.109999999997</v>
          </cell>
        </row>
        <row r="478">
          <cell r="A478" t="str">
            <v>8760</v>
          </cell>
          <cell r="D478">
            <v>11329.12</v>
          </cell>
          <cell r="E478">
            <v>0</v>
          </cell>
          <cell r="F478">
            <v>0</v>
          </cell>
          <cell r="G478">
            <v>7455.59</v>
          </cell>
          <cell r="H478">
            <v>2128.31</v>
          </cell>
          <cell r="I478">
            <v>4982.6400000000003</v>
          </cell>
          <cell r="J478">
            <v>2797.28</v>
          </cell>
          <cell r="K478">
            <v>3330.49</v>
          </cell>
          <cell r="L478">
            <v>2630.71</v>
          </cell>
          <cell r="M478">
            <v>3266.52</v>
          </cell>
          <cell r="N478">
            <v>5121.1400000000003</v>
          </cell>
          <cell r="O478">
            <v>4801.05</v>
          </cell>
          <cell r="P478">
            <v>0</v>
          </cell>
          <cell r="Q478">
            <v>451.79</v>
          </cell>
          <cell r="R478">
            <v>1239.6400000000001</v>
          </cell>
          <cell r="S478">
            <v>4265.18</v>
          </cell>
          <cell r="T478">
            <v>2353.21</v>
          </cell>
          <cell r="U478">
            <v>453.48</v>
          </cell>
          <cell r="V478">
            <v>1523.58</v>
          </cell>
          <cell r="W478">
            <v>164.25</v>
          </cell>
          <cell r="X478">
            <v>8993.6299999999992</v>
          </cell>
          <cell r="Y478">
            <v>7670.06</v>
          </cell>
          <cell r="Z478">
            <v>682.58</v>
          </cell>
          <cell r="AA478">
            <v>9505.5</v>
          </cell>
          <cell r="AB478">
            <v>799.68</v>
          </cell>
          <cell r="AC478">
            <v>232.3</v>
          </cell>
          <cell r="AD478">
            <v>0</v>
          </cell>
          <cell r="AE478">
            <v>1605.2</v>
          </cell>
          <cell r="AF478">
            <v>1451.08</v>
          </cell>
          <cell r="AG478">
            <v>14827.04</v>
          </cell>
          <cell r="AH478">
            <v>2746</v>
          </cell>
          <cell r="AI478">
            <v>8587.57</v>
          </cell>
          <cell r="AJ478">
            <v>1185.31</v>
          </cell>
          <cell r="AK478">
            <v>180.77</v>
          </cell>
          <cell r="AL478">
            <v>4207.49</v>
          </cell>
          <cell r="AM478">
            <v>14974</v>
          </cell>
          <cell r="AN478">
            <v>160.38</v>
          </cell>
          <cell r="AO478">
            <v>0</v>
          </cell>
          <cell r="AP478">
            <v>4599.2299999999996</v>
          </cell>
          <cell r="AQ478">
            <v>80.790000000000006</v>
          </cell>
          <cell r="AR478">
            <v>4290.8500000000004</v>
          </cell>
          <cell r="AS478">
            <v>41791.81</v>
          </cell>
          <cell r="AT478">
            <v>-4720.9399999999996</v>
          </cell>
          <cell r="AU478">
            <v>-3675.66</v>
          </cell>
          <cell r="AV478">
            <v>101.28</v>
          </cell>
          <cell r="AW478">
            <v>4661.1899999999996</v>
          </cell>
          <cell r="AX478">
            <v>453.11</v>
          </cell>
          <cell r="AY478">
            <v>567.55999999999995</v>
          </cell>
          <cell r="AZ478">
            <v>1258.05</v>
          </cell>
          <cell r="BA478">
            <v>312.88</v>
          </cell>
          <cell r="BB478">
            <v>2645.7</v>
          </cell>
          <cell r="BC478">
            <v>-34.619999999999997</v>
          </cell>
          <cell r="BD478">
            <v>3887.33</v>
          </cell>
          <cell r="BE478">
            <v>92.65</v>
          </cell>
          <cell r="BF478">
            <v>231.89</v>
          </cell>
          <cell r="BG478">
            <v>0</v>
          </cell>
          <cell r="BH478">
            <v>274.2</v>
          </cell>
          <cell r="BI478">
            <v>627.09</v>
          </cell>
          <cell r="BJ478">
            <v>12149.38</v>
          </cell>
          <cell r="BK478">
            <v>-10260.129999999999</v>
          </cell>
          <cell r="BL478">
            <v>0</v>
          </cell>
          <cell r="BM478">
            <v>87.21</v>
          </cell>
          <cell r="BN478">
            <v>0</v>
          </cell>
          <cell r="BO478">
            <v>0</v>
          </cell>
          <cell r="BP478">
            <v>0</v>
          </cell>
          <cell r="BQ478">
            <v>0</v>
          </cell>
          <cell r="BR478">
            <v>0</v>
          </cell>
          <cell r="BS478">
            <v>0</v>
          </cell>
          <cell r="BT478">
            <v>1884.2</v>
          </cell>
          <cell r="BU478">
            <v>44.8</v>
          </cell>
          <cell r="BV478">
            <v>103.93</v>
          </cell>
          <cell r="BW478">
            <v>43.61</v>
          </cell>
          <cell r="BX478">
            <v>0</v>
          </cell>
          <cell r="BY478">
            <v>0</v>
          </cell>
          <cell r="BZ478">
            <v>53.75</v>
          </cell>
          <cell r="CA478">
            <v>0</v>
          </cell>
          <cell r="CB478">
            <v>0</v>
          </cell>
          <cell r="CC478">
            <v>37.44</v>
          </cell>
          <cell r="CD478">
            <v>0</v>
          </cell>
          <cell r="CE478">
            <v>75.8</v>
          </cell>
          <cell r="CF478">
            <v>2502.73</v>
          </cell>
          <cell r="CG478">
            <v>0</v>
          </cell>
          <cell r="CH478">
            <v>0</v>
          </cell>
          <cell r="CI478">
            <v>0</v>
          </cell>
          <cell r="CJ478">
            <v>0</v>
          </cell>
          <cell r="CK478">
            <v>24237.64</v>
          </cell>
          <cell r="CL478">
            <v>0</v>
          </cell>
          <cell r="CM478">
            <v>2621.5</v>
          </cell>
          <cell r="CN478">
            <v>0</v>
          </cell>
          <cell r="CO478">
            <v>0</v>
          </cell>
          <cell r="CP478">
            <v>18208.12</v>
          </cell>
          <cell r="CQ478">
            <v>-18208.12</v>
          </cell>
          <cell r="CR478">
            <v>11246.87</v>
          </cell>
          <cell r="CS478">
            <v>-707.37</v>
          </cell>
          <cell r="CT478">
            <v>0</v>
          </cell>
          <cell r="CU478">
            <v>1071</v>
          </cell>
          <cell r="CV478">
            <v>27253.97</v>
          </cell>
          <cell r="CW478">
            <v>0</v>
          </cell>
          <cell r="CX478">
            <v>1099.74</v>
          </cell>
          <cell r="CY478">
            <v>0</v>
          </cell>
          <cell r="CZ478">
            <v>0</v>
          </cell>
          <cell r="DA478">
            <v>52.09</v>
          </cell>
          <cell r="DB478">
            <v>0</v>
          </cell>
          <cell r="DC478">
            <v>0</v>
          </cell>
          <cell r="DD478">
            <v>124.76</v>
          </cell>
          <cell r="DE478">
            <v>0</v>
          </cell>
          <cell r="DF478">
            <v>0</v>
          </cell>
          <cell r="DG478">
            <v>0</v>
          </cell>
          <cell r="DH478">
            <v>28530.560000000001</v>
          </cell>
        </row>
        <row r="479">
          <cell r="A479" t="str">
            <v>8770</v>
          </cell>
          <cell r="D479">
            <v>6136.13</v>
          </cell>
          <cell r="E479">
            <v>7359.23</v>
          </cell>
          <cell r="F479">
            <v>6274.3</v>
          </cell>
          <cell r="G479">
            <v>15354.8</v>
          </cell>
          <cell r="H479">
            <v>20558.740000000002</v>
          </cell>
          <cell r="I479">
            <v>4968.17</v>
          </cell>
          <cell r="J479">
            <v>33579.03</v>
          </cell>
          <cell r="K479">
            <v>4281.38</v>
          </cell>
          <cell r="L479">
            <v>4888.8599999999997</v>
          </cell>
          <cell r="M479">
            <v>5152.3999999999996</v>
          </cell>
          <cell r="N479">
            <v>2588.96</v>
          </cell>
          <cell r="O479">
            <v>6280.54</v>
          </cell>
          <cell r="P479">
            <v>5429.72</v>
          </cell>
          <cell r="Q479">
            <v>4817.17</v>
          </cell>
          <cell r="R479">
            <v>4042.49</v>
          </cell>
          <cell r="S479">
            <v>4247.37</v>
          </cell>
          <cell r="T479">
            <v>5410.4</v>
          </cell>
          <cell r="U479">
            <v>4874.42</v>
          </cell>
          <cell r="V479">
            <v>7525.25</v>
          </cell>
          <cell r="W479">
            <v>4286.3599999999997</v>
          </cell>
          <cell r="X479">
            <v>6647.33</v>
          </cell>
          <cell r="Y479">
            <v>4362.4799999999996</v>
          </cell>
          <cell r="Z479">
            <v>6389.38</v>
          </cell>
          <cell r="AA479">
            <v>6851.65</v>
          </cell>
          <cell r="AB479">
            <v>4768.78</v>
          </cell>
          <cell r="AC479">
            <v>6717.8</v>
          </cell>
          <cell r="AD479">
            <v>4620.21</v>
          </cell>
          <cell r="AE479">
            <v>3488.97</v>
          </cell>
          <cell r="AF479">
            <v>3391.69</v>
          </cell>
          <cell r="AG479">
            <v>7442.68</v>
          </cell>
          <cell r="AH479">
            <v>4599.84</v>
          </cell>
          <cell r="AI479">
            <v>6812.54</v>
          </cell>
          <cell r="AJ479">
            <v>9183.56</v>
          </cell>
          <cell r="AK479">
            <v>6099.91</v>
          </cell>
          <cell r="AL479">
            <v>5343.67</v>
          </cell>
          <cell r="AM479">
            <v>11677.24</v>
          </cell>
          <cell r="AN479">
            <v>8645.01</v>
          </cell>
          <cell r="AO479">
            <v>3343.18</v>
          </cell>
          <cell r="AP479">
            <v>-234.53</v>
          </cell>
          <cell r="AQ479">
            <v>5489.87</v>
          </cell>
          <cell r="AR479">
            <v>4969.1899999999996</v>
          </cell>
          <cell r="AS479">
            <v>5211</v>
          </cell>
          <cell r="AT479">
            <v>6009.93</v>
          </cell>
          <cell r="AU479">
            <v>3902.83</v>
          </cell>
          <cell r="AV479">
            <v>5631.76</v>
          </cell>
          <cell r="AW479">
            <v>6418.11</v>
          </cell>
          <cell r="AX479">
            <v>6361.12</v>
          </cell>
          <cell r="AY479">
            <v>8213.4</v>
          </cell>
          <cell r="AZ479">
            <v>5307.39</v>
          </cell>
          <cell r="BA479">
            <v>5078.68</v>
          </cell>
          <cell r="BB479">
            <v>6606.61</v>
          </cell>
          <cell r="BC479">
            <v>7510.54</v>
          </cell>
          <cell r="BD479">
            <v>4845.4399999999996</v>
          </cell>
          <cell r="BE479">
            <v>4832.95</v>
          </cell>
          <cell r="BF479">
            <v>7334.07</v>
          </cell>
          <cell r="BG479">
            <v>5426.87</v>
          </cell>
          <cell r="BH479">
            <v>6382.87</v>
          </cell>
          <cell r="BI479">
            <v>6207.69</v>
          </cell>
          <cell r="BJ479">
            <v>5948.72</v>
          </cell>
          <cell r="BK479">
            <v>8356.74</v>
          </cell>
          <cell r="BL479">
            <v>5564.7</v>
          </cell>
          <cell r="BM479">
            <v>7729.39</v>
          </cell>
          <cell r="BN479">
            <v>6554.31</v>
          </cell>
          <cell r="BO479">
            <v>7417.55</v>
          </cell>
          <cell r="BP479">
            <v>6931.88</v>
          </cell>
          <cell r="BQ479">
            <v>6703.65</v>
          </cell>
          <cell r="BR479">
            <v>6306.55</v>
          </cell>
          <cell r="BS479">
            <v>7762.79</v>
          </cell>
          <cell r="BT479">
            <v>7571.35</v>
          </cell>
          <cell r="BU479">
            <v>6662.03</v>
          </cell>
          <cell r="BV479">
            <v>7222.6</v>
          </cell>
          <cell r="BW479">
            <v>8969.0400000000009</v>
          </cell>
          <cell r="BX479">
            <v>8290.02</v>
          </cell>
          <cell r="BY479">
            <v>6405.51</v>
          </cell>
          <cell r="BZ479">
            <v>8863.8799999999992</v>
          </cell>
          <cell r="CA479">
            <v>7161.8</v>
          </cell>
          <cell r="CB479">
            <v>93577.66</v>
          </cell>
          <cell r="CC479">
            <v>23659.86</v>
          </cell>
          <cell r="CD479">
            <v>25905.02</v>
          </cell>
          <cell r="CE479">
            <v>23353.02</v>
          </cell>
          <cell r="CF479">
            <v>23443.54</v>
          </cell>
          <cell r="CG479">
            <v>25979.84</v>
          </cell>
          <cell r="CH479">
            <v>25213.77</v>
          </cell>
          <cell r="CI479">
            <v>28658.68</v>
          </cell>
          <cell r="CJ479">
            <v>14919.36</v>
          </cell>
          <cell r="CK479">
            <v>8543.06</v>
          </cell>
          <cell r="CL479">
            <v>9630.9599999999991</v>
          </cell>
          <cell r="CM479">
            <v>9422.43</v>
          </cell>
          <cell r="CN479">
            <v>7778.1</v>
          </cell>
          <cell r="CO479">
            <v>7878.85</v>
          </cell>
          <cell r="CP479">
            <v>13471.21</v>
          </cell>
          <cell r="CQ479">
            <v>8896.1200000000008</v>
          </cell>
          <cell r="CR479">
            <v>11167.95</v>
          </cell>
          <cell r="CS479">
            <v>10773.39</v>
          </cell>
          <cell r="CT479">
            <v>9130.48</v>
          </cell>
          <cell r="CU479">
            <v>12471.49</v>
          </cell>
          <cell r="CV479">
            <v>9706</v>
          </cell>
          <cell r="CW479">
            <v>11399.81</v>
          </cell>
          <cell r="CX479">
            <v>11471.53</v>
          </cell>
          <cell r="CY479">
            <v>9275.6299999999992</v>
          </cell>
          <cell r="CZ479">
            <v>12235.57</v>
          </cell>
          <cell r="DA479">
            <v>12391.21</v>
          </cell>
          <cell r="DB479">
            <v>12110.98</v>
          </cell>
          <cell r="DC479">
            <v>15826.22</v>
          </cell>
          <cell r="DD479">
            <v>7482.35</v>
          </cell>
          <cell r="DE479">
            <v>22894.78</v>
          </cell>
          <cell r="DF479">
            <v>19114.66</v>
          </cell>
          <cell r="DG479">
            <v>10769.76</v>
          </cell>
          <cell r="DH479">
            <v>154678.5</v>
          </cell>
        </row>
        <row r="480">
          <cell r="A480" t="str">
            <v>8780</v>
          </cell>
          <cell r="D480">
            <v>331664.32</v>
          </cell>
          <cell r="E480">
            <v>280878.81</v>
          </cell>
          <cell r="F480">
            <v>340841.73</v>
          </cell>
          <cell r="G480">
            <v>336468.88</v>
          </cell>
          <cell r="H480">
            <v>358277.46</v>
          </cell>
          <cell r="I480">
            <v>348496.89</v>
          </cell>
          <cell r="J480">
            <v>401879.03</v>
          </cell>
          <cell r="K480">
            <v>395945.61</v>
          </cell>
          <cell r="L480">
            <v>393749.54</v>
          </cell>
          <cell r="M480">
            <v>346898.74</v>
          </cell>
          <cell r="N480">
            <v>324130.23</v>
          </cell>
          <cell r="O480">
            <v>318864.71000000002</v>
          </cell>
          <cell r="P480">
            <v>303119.52</v>
          </cell>
          <cell r="Q480">
            <v>306386.05</v>
          </cell>
          <cell r="R480">
            <v>324008.94</v>
          </cell>
          <cell r="S480">
            <v>329943.99</v>
          </cell>
          <cell r="T480">
            <v>373121.43</v>
          </cell>
          <cell r="U480">
            <v>373278.5</v>
          </cell>
          <cell r="V480">
            <v>379361.08</v>
          </cell>
          <cell r="W480">
            <v>363906.81</v>
          </cell>
          <cell r="X480">
            <v>361671.39</v>
          </cell>
          <cell r="Y480">
            <v>373518.29</v>
          </cell>
          <cell r="Z480">
            <v>390443.42</v>
          </cell>
          <cell r="AA480">
            <v>391313.14</v>
          </cell>
          <cell r="AB480">
            <v>387278.21</v>
          </cell>
          <cell r="AC480">
            <v>320639.03999999998</v>
          </cell>
          <cell r="AD480">
            <v>392361.23</v>
          </cell>
          <cell r="AE480">
            <v>344536.52</v>
          </cell>
          <cell r="AF480">
            <v>333609.61</v>
          </cell>
          <cell r="AG480">
            <v>367571.77</v>
          </cell>
          <cell r="AH480">
            <v>337048.62</v>
          </cell>
          <cell r="AI480">
            <v>415646.4</v>
          </cell>
          <cell r="AJ480">
            <v>350825.22</v>
          </cell>
          <cell r="AK480">
            <v>406109.41</v>
          </cell>
          <cell r="AL480">
            <v>509946.34</v>
          </cell>
          <cell r="AM480">
            <v>473934.12</v>
          </cell>
          <cell r="AN480">
            <v>330722.59000000003</v>
          </cell>
          <cell r="AO480">
            <v>329327.03000000003</v>
          </cell>
          <cell r="AP480">
            <v>353317.25</v>
          </cell>
          <cell r="AQ480">
            <v>389287.23</v>
          </cell>
          <cell r="AR480">
            <v>478317.47</v>
          </cell>
          <cell r="AS480">
            <v>472464.22</v>
          </cell>
          <cell r="AT480">
            <v>481635.72</v>
          </cell>
          <cell r="AU480">
            <v>517421.4</v>
          </cell>
          <cell r="AV480">
            <v>357513.09</v>
          </cell>
          <cell r="AW480">
            <v>506337.1</v>
          </cell>
          <cell r="AX480">
            <v>500950.42</v>
          </cell>
          <cell r="AY480">
            <v>552550.44999999995</v>
          </cell>
          <cell r="AZ480">
            <v>428461.48</v>
          </cell>
          <cell r="BA480">
            <v>468341.03</v>
          </cell>
          <cell r="BB480">
            <v>476985.96</v>
          </cell>
          <cell r="BC480">
            <v>453349.23</v>
          </cell>
          <cell r="BD480">
            <v>403614.47</v>
          </cell>
          <cell r="BE480">
            <v>458408.1</v>
          </cell>
          <cell r="BF480">
            <v>380866.75</v>
          </cell>
          <cell r="BG480">
            <v>414751.56</v>
          </cell>
          <cell r="BH480">
            <v>351139.78</v>
          </cell>
          <cell r="BI480">
            <v>396062.05</v>
          </cell>
          <cell r="BJ480">
            <v>319811.71999999997</v>
          </cell>
          <cell r="BK480">
            <v>391463.82</v>
          </cell>
          <cell r="BL480">
            <v>403554.52</v>
          </cell>
          <cell r="BM480">
            <v>339306.14</v>
          </cell>
          <cell r="BN480">
            <v>438874.04</v>
          </cell>
          <cell r="BO480">
            <v>341530.26</v>
          </cell>
          <cell r="BP480">
            <v>422969.32</v>
          </cell>
          <cell r="BQ480">
            <v>364047.39</v>
          </cell>
          <cell r="BR480">
            <v>435869.56</v>
          </cell>
          <cell r="BS480">
            <v>447427.46</v>
          </cell>
          <cell r="BT480">
            <v>404354.55</v>
          </cell>
          <cell r="BU480">
            <v>409337.35</v>
          </cell>
          <cell r="BV480">
            <v>529053.13</v>
          </cell>
          <cell r="BW480">
            <v>520136.74</v>
          </cell>
          <cell r="BX480">
            <v>500679.98</v>
          </cell>
          <cell r="BY480">
            <v>392228.57</v>
          </cell>
          <cell r="BZ480">
            <v>615433.6</v>
          </cell>
          <cell r="CA480">
            <v>417025.28000000003</v>
          </cell>
          <cell r="CB480">
            <v>348949.88</v>
          </cell>
          <cell r="CC480">
            <v>395017.46</v>
          </cell>
          <cell r="CD480">
            <v>397132.11</v>
          </cell>
          <cell r="CE480">
            <v>411433.44</v>
          </cell>
          <cell r="CF480">
            <v>411020.19</v>
          </cell>
          <cell r="CG480">
            <v>406461.9</v>
          </cell>
          <cell r="CH480">
            <v>410458.93</v>
          </cell>
          <cell r="CI480">
            <v>475080.71</v>
          </cell>
          <cell r="CJ480">
            <v>386666.72</v>
          </cell>
          <cell r="CK480">
            <v>367093.51</v>
          </cell>
          <cell r="CL480">
            <v>512899.84000000003</v>
          </cell>
          <cell r="CM480">
            <v>428165.84</v>
          </cell>
          <cell r="CN480">
            <v>432385.1</v>
          </cell>
          <cell r="CO480">
            <v>422798.92</v>
          </cell>
          <cell r="CP480">
            <v>462718.69</v>
          </cell>
          <cell r="CQ480">
            <v>450568.6</v>
          </cell>
          <cell r="CR480">
            <v>461344.34</v>
          </cell>
          <cell r="CS480">
            <v>407696.22</v>
          </cell>
          <cell r="CT480">
            <v>517713.02</v>
          </cell>
          <cell r="CU480">
            <v>580938.28</v>
          </cell>
          <cell r="CV480">
            <v>433635.64</v>
          </cell>
          <cell r="CW480">
            <v>389343.41</v>
          </cell>
          <cell r="CX480">
            <v>450628.17</v>
          </cell>
          <cell r="CY480">
            <v>513599.74</v>
          </cell>
          <cell r="CZ480">
            <v>541226.47</v>
          </cell>
          <cell r="DA480">
            <v>460609.04</v>
          </cell>
          <cell r="DB480">
            <v>514118.02</v>
          </cell>
          <cell r="DC480">
            <v>591781.4</v>
          </cell>
          <cell r="DD480">
            <v>536565.29</v>
          </cell>
          <cell r="DE480">
            <v>560671.98</v>
          </cell>
          <cell r="DF480">
            <v>555669.42000000004</v>
          </cell>
          <cell r="DG480">
            <v>661296.09</v>
          </cell>
          <cell r="DH480">
            <v>6209144.6699999999</v>
          </cell>
        </row>
        <row r="481">
          <cell r="A481" t="str">
            <v>8790</v>
          </cell>
          <cell r="D481">
            <v>184557.37</v>
          </cell>
          <cell r="E481">
            <v>147280.78</v>
          </cell>
          <cell r="F481">
            <v>151730.47</v>
          </cell>
          <cell r="G481">
            <v>138717.81</v>
          </cell>
          <cell r="H481">
            <v>158418.76999999999</v>
          </cell>
          <cell r="I481">
            <v>141319.22</v>
          </cell>
          <cell r="J481">
            <v>188796.06</v>
          </cell>
          <cell r="K481">
            <v>150911.19</v>
          </cell>
          <cell r="L481">
            <v>236065.04</v>
          </cell>
          <cell r="M481">
            <v>176585.16</v>
          </cell>
          <cell r="N481">
            <v>163521.91</v>
          </cell>
          <cell r="O481">
            <v>202287.45</v>
          </cell>
          <cell r="P481">
            <v>176829.47</v>
          </cell>
          <cell r="Q481">
            <v>158173.24</v>
          </cell>
          <cell r="R481">
            <v>161430.24</v>
          </cell>
          <cell r="S481">
            <v>166194.35999999999</v>
          </cell>
          <cell r="T481">
            <v>164214.57999999999</v>
          </cell>
          <cell r="U481">
            <v>153860.42000000001</v>
          </cell>
          <cell r="V481">
            <v>149582.04999999999</v>
          </cell>
          <cell r="W481">
            <v>145490.45000000001</v>
          </cell>
          <cell r="X481">
            <v>168339.48</v>
          </cell>
          <cell r="Y481">
            <v>170838.72</v>
          </cell>
          <cell r="Z481">
            <v>154663.1</v>
          </cell>
          <cell r="AA481">
            <v>176453.41</v>
          </cell>
          <cell r="AB481">
            <v>189051.24</v>
          </cell>
          <cell r="AC481">
            <v>183690.69</v>
          </cell>
          <cell r="AD481">
            <v>177697.38</v>
          </cell>
          <cell r="AE481">
            <v>140301.82</v>
          </cell>
          <cell r="AF481">
            <v>136480.20000000001</v>
          </cell>
          <cell r="AG481">
            <v>160545.94</v>
          </cell>
          <cell r="AH481">
            <v>147268.47</v>
          </cell>
          <cell r="AI481">
            <v>161044.42000000001</v>
          </cell>
          <cell r="AJ481">
            <v>148232.94</v>
          </cell>
          <cell r="AK481">
            <v>158640.1</v>
          </cell>
          <cell r="AL481">
            <v>193969.25</v>
          </cell>
          <cell r="AM481">
            <v>195056.83</v>
          </cell>
          <cell r="AN481">
            <v>219479.33</v>
          </cell>
          <cell r="AO481">
            <v>147211.97</v>
          </cell>
          <cell r="AP481">
            <v>135616.91</v>
          </cell>
          <cell r="AQ481">
            <v>139080.53</v>
          </cell>
          <cell r="AR481">
            <v>141809.94</v>
          </cell>
          <cell r="AS481">
            <v>136054.07</v>
          </cell>
          <cell r="AT481">
            <v>133906.81</v>
          </cell>
          <cell r="AU481">
            <v>159606.20000000001</v>
          </cell>
          <cell r="AV481">
            <v>187136.5</v>
          </cell>
          <cell r="AW481">
            <v>132105.44</v>
          </cell>
          <cell r="AX481">
            <v>168058.81</v>
          </cell>
          <cell r="AY481">
            <v>194287.25</v>
          </cell>
          <cell r="AZ481">
            <v>224980.51</v>
          </cell>
          <cell r="BA481">
            <v>169696.27</v>
          </cell>
          <cell r="BB481">
            <v>155592.04</v>
          </cell>
          <cell r="BC481">
            <v>155577.76999999999</v>
          </cell>
          <cell r="BD481">
            <v>155362.79</v>
          </cell>
          <cell r="BE481">
            <v>144753.72</v>
          </cell>
          <cell r="BF481">
            <v>168942.48</v>
          </cell>
          <cell r="BG481">
            <v>169974.31</v>
          </cell>
          <cell r="BH481">
            <v>158445.26999999999</v>
          </cell>
          <cell r="BI481">
            <v>182356.78</v>
          </cell>
          <cell r="BJ481">
            <v>160648.76</v>
          </cell>
          <cell r="BK481">
            <v>225761.03</v>
          </cell>
          <cell r="BL481">
            <v>237541.02</v>
          </cell>
          <cell r="BM481">
            <v>214787.02</v>
          </cell>
          <cell r="BN481">
            <v>177580.52</v>
          </cell>
          <cell r="BO481">
            <v>198763.76</v>
          </cell>
          <cell r="BP481">
            <v>165135.82999999999</v>
          </cell>
          <cell r="BQ481">
            <v>173833.9</v>
          </cell>
          <cell r="BR481">
            <v>227791.35</v>
          </cell>
          <cell r="BS481">
            <v>210685.91</v>
          </cell>
          <cell r="BT481">
            <v>180552.42</v>
          </cell>
          <cell r="BU481">
            <v>195388.93</v>
          </cell>
          <cell r="BV481">
            <v>189566.5</v>
          </cell>
          <cell r="BW481">
            <v>223586.69</v>
          </cell>
          <cell r="BX481">
            <v>215086.82</v>
          </cell>
          <cell r="BY481">
            <v>173816.31</v>
          </cell>
          <cell r="BZ481">
            <v>210080.51</v>
          </cell>
          <cell r="CA481">
            <v>163474.62</v>
          </cell>
          <cell r="CB481">
            <v>171364.64</v>
          </cell>
          <cell r="CC481">
            <v>191891.07</v>
          </cell>
          <cell r="CD481">
            <v>211609.9</v>
          </cell>
          <cell r="CE481">
            <v>206834.3</v>
          </cell>
          <cell r="CF481">
            <v>195754.87</v>
          </cell>
          <cell r="CG481">
            <v>195189.33</v>
          </cell>
          <cell r="CH481">
            <v>164341.63</v>
          </cell>
          <cell r="CI481">
            <v>305986.2</v>
          </cell>
          <cell r="CJ481">
            <v>283041.71999999997</v>
          </cell>
          <cell r="CK481">
            <v>228594.09</v>
          </cell>
          <cell r="CL481">
            <v>247596.66</v>
          </cell>
          <cell r="CM481">
            <v>212818.62</v>
          </cell>
          <cell r="CN481">
            <v>228039.98</v>
          </cell>
          <cell r="CO481">
            <v>237926.18</v>
          </cell>
          <cell r="CP481">
            <v>256618.99</v>
          </cell>
          <cell r="CQ481">
            <v>228220.96</v>
          </cell>
          <cell r="CR481">
            <v>252059.38</v>
          </cell>
          <cell r="CS481">
            <v>250428.44</v>
          </cell>
          <cell r="CT481">
            <v>259426.08</v>
          </cell>
          <cell r="CU481">
            <v>291927.61</v>
          </cell>
          <cell r="CV481">
            <v>276853.52</v>
          </cell>
          <cell r="CW481">
            <v>247457.39</v>
          </cell>
          <cell r="CX481">
            <v>222260.17</v>
          </cell>
          <cell r="CY481">
            <v>235436.5</v>
          </cell>
          <cell r="CZ481">
            <v>186820.45</v>
          </cell>
          <cell r="DA481">
            <v>262370.84999999998</v>
          </cell>
          <cell r="DB481">
            <v>276467.11</v>
          </cell>
          <cell r="DC481">
            <v>233608.14</v>
          </cell>
          <cell r="DD481">
            <v>275010.98</v>
          </cell>
          <cell r="DE481">
            <v>280409.5</v>
          </cell>
          <cell r="DF481">
            <v>286793.64</v>
          </cell>
          <cell r="DG481">
            <v>352116.78</v>
          </cell>
          <cell r="DH481">
            <v>3135605.0300000003</v>
          </cell>
        </row>
        <row r="482">
          <cell r="A482" t="str">
            <v>8800</v>
          </cell>
          <cell r="D482">
            <v>138102.10999999999</v>
          </cell>
          <cell r="E482">
            <v>130764.12</v>
          </cell>
          <cell r="F482">
            <v>160990.28</v>
          </cell>
          <cell r="G482">
            <v>141005.9</v>
          </cell>
          <cell r="H482">
            <v>182656.18</v>
          </cell>
          <cell r="I482">
            <v>150618.42000000001</v>
          </cell>
          <cell r="J482">
            <v>180149.83</v>
          </cell>
          <cell r="K482">
            <v>204045.49</v>
          </cell>
          <cell r="L482">
            <v>162810.79999999999</v>
          </cell>
          <cell r="M482">
            <v>194629.08</v>
          </cell>
          <cell r="N482">
            <v>68891.41</v>
          </cell>
          <cell r="O482">
            <v>111661.09</v>
          </cell>
          <cell r="P482">
            <v>104265.83</v>
          </cell>
          <cell r="Q482">
            <v>104127.75</v>
          </cell>
          <cell r="R482">
            <v>182172.37</v>
          </cell>
          <cell r="S482">
            <v>152194.26</v>
          </cell>
          <cell r="T482">
            <v>139281.71</v>
          </cell>
          <cell r="U482">
            <v>125000.47</v>
          </cell>
          <cell r="V482">
            <v>113829.74</v>
          </cell>
          <cell r="W482">
            <v>90734.92</v>
          </cell>
          <cell r="X482">
            <v>156744.37</v>
          </cell>
          <cell r="Y482">
            <v>119261.08</v>
          </cell>
          <cell r="Z482">
            <v>91181.29</v>
          </cell>
          <cell r="AA482">
            <v>137119.75</v>
          </cell>
          <cell r="AB482">
            <v>96500.14</v>
          </cell>
          <cell r="AC482">
            <v>133539.43</v>
          </cell>
          <cell r="AD482">
            <v>156162.07999999999</v>
          </cell>
          <cell r="AE482">
            <v>158075.59</v>
          </cell>
          <cell r="AF482">
            <v>145571.88</v>
          </cell>
          <cell r="AG482">
            <v>156886.82999999999</v>
          </cell>
          <cell r="AH482">
            <v>115245.15</v>
          </cell>
          <cell r="AI482">
            <v>162947.91</v>
          </cell>
          <cell r="AJ482">
            <v>128581.54</v>
          </cell>
          <cell r="AK482">
            <v>132893.51999999999</v>
          </cell>
          <cell r="AL482">
            <v>162809.78</v>
          </cell>
          <cell r="AM482">
            <v>209473.99</v>
          </cell>
          <cell r="AN482">
            <v>20252.71</v>
          </cell>
          <cell r="AO482">
            <v>149558.39000000001</v>
          </cell>
          <cell r="AP482">
            <v>153456.54</v>
          </cell>
          <cell r="AQ482">
            <v>86345.22</v>
          </cell>
          <cell r="AR482">
            <v>140157.57</v>
          </cell>
          <cell r="AS482">
            <v>223973.86</v>
          </cell>
          <cell r="AT482">
            <v>16732.78</v>
          </cell>
          <cell r="AU482">
            <v>93720.86</v>
          </cell>
          <cell r="AV482">
            <v>87423.09</v>
          </cell>
          <cell r="AW482">
            <v>131302.25</v>
          </cell>
          <cell r="AX482">
            <v>200272.76</v>
          </cell>
          <cell r="AY482">
            <v>203768.71</v>
          </cell>
          <cell r="AZ482">
            <v>167577.20000000001</v>
          </cell>
          <cell r="BA482">
            <v>173062.44</v>
          </cell>
          <cell r="BB482">
            <v>218121.47</v>
          </cell>
          <cell r="BC482">
            <v>129812.28</v>
          </cell>
          <cell r="BD482">
            <v>201077.29</v>
          </cell>
          <cell r="BE482">
            <v>167642.96</v>
          </cell>
          <cell r="BF482">
            <v>111076.48</v>
          </cell>
          <cell r="BG482">
            <v>179484.61</v>
          </cell>
          <cell r="BH482">
            <v>131531.24</v>
          </cell>
          <cell r="BI482">
            <v>379295.54</v>
          </cell>
          <cell r="BJ482">
            <v>296842.96000000002</v>
          </cell>
          <cell r="BK482">
            <v>106933.63</v>
          </cell>
          <cell r="BL482">
            <v>130455.48</v>
          </cell>
          <cell r="BM482">
            <v>294638.64</v>
          </cell>
          <cell r="BN482">
            <v>277439.27</v>
          </cell>
          <cell r="BO482">
            <v>223612.69</v>
          </cell>
          <cell r="BP482">
            <v>237833.53</v>
          </cell>
          <cell r="BQ482">
            <v>251734.46</v>
          </cell>
          <cell r="BR482">
            <v>252800.21</v>
          </cell>
          <cell r="BS482">
            <v>339681.12</v>
          </cell>
          <cell r="BT482">
            <v>386432.62</v>
          </cell>
          <cell r="BU482">
            <v>324221.86</v>
          </cell>
          <cell r="BV482">
            <v>290373.40000000002</v>
          </cell>
          <cell r="BW482">
            <v>346289.27</v>
          </cell>
          <cell r="BX482">
            <v>241393.15</v>
          </cell>
          <cell r="BY482">
            <v>310155.62</v>
          </cell>
          <cell r="BZ482">
            <v>429419.84</v>
          </cell>
          <cell r="CA482">
            <v>337072.46</v>
          </cell>
          <cell r="CB482">
            <v>290593.13</v>
          </cell>
          <cell r="CC482">
            <v>287989.33</v>
          </cell>
          <cell r="CD482">
            <v>359881.93</v>
          </cell>
          <cell r="CE482">
            <v>442308.97</v>
          </cell>
          <cell r="CF482">
            <v>305089.7</v>
          </cell>
          <cell r="CG482">
            <v>285235.44</v>
          </cell>
          <cell r="CH482">
            <v>260562.63</v>
          </cell>
          <cell r="CI482">
            <v>377252.9</v>
          </cell>
          <cell r="CJ482">
            <v>403720.8</v>
          </cell>
          <cell r="CK482">
            <v>350869.07</v>
          </cell>
          <cell r="CL482">
            <v>347896.9</v>
          </cell>
          <cell r="CM482">
            <v>386666.71</v>
          </cell>
          <cell r="CN482">
            <v>311070.28000000003</v>
          </cell>
          <cell r="CO482">
            <v>283482.59000000003</v>
          </cell>
          <cell r="CP482">
            <v>309484.44</v>
          </cell>
          <cell r="CQ482">
            <v>292052.90000000002</v>
          </cell>
          <cell r="CR482">
            <v>320416.7</v>
          </cell>
          <cell r="CS482">
            <v>293054.36</v>
          </cell>
          <cell r="CT482">
            <v>326283.01</v>
          </cell>
          <cell r="CU482">
            <v>354957.14</v>
          </cell>
          <cell r="CV482">
            <v>397424.09</v>
          </cell>
          <cell r="CW482">
            <v>342852.86</v>
          </cell>
          <cell r="CX482">
            <v>408584.83</v>
          </cell>
          <cell r="CY482">
            <v>420511.5</v>
          </cell>
          <cell r="CZ482">
            <v>406416.85</v>
          </cell>
          <cell r="DA482">
            <v>479737.12</v>
          </cell>
          <cell r="DB482">
            <v>427883.71</v>
          </cell>
          <cell r="DC482">
            <v>601085.93999999994</v>
          </cell>
          <cell r="DD482">
            <v>418495.91</v>
          </cell>
          <cell r="DE482">
            <v>286202.09999999998</v>
          </cell>
          <cell r="DF482">
            <v>593623.35</v>
          </cell>
          <cell r="DG482">
            <v>573397.16</v>
          </cell>
          <cell r="DH482">
            <v>5356215.42</v>
          </cell>
        </row>
        <row r="483">
          <cell r="A483" t="str">
            <v>8810</v>
          </cell>
          <cell r="D483">
            <v>7580</v>
          </cell>
          <cell r="E483">
            <v>11044.45</v>
          </cell>
          <cell r="F483">
            <v>4910.21</v>
          </cell>
          <cell r="G483">
            <v>929.5</v>
          </cell>
          <cell r="H483">
            <v>100</v>
          </cell>
          <cell r="I483">
            <v>16893.11</v>
          </cell>
          <cell r="J483">
            <v>4022.8</v>
          </cell>
          <cell r="K483">
            <v>2574.77</v>
          </cell>
          <cell r="L483">
            <v>1428.21</v>
          </cell>
          <cell r="M483">
            <v>395.7</v>
          </cell>
          <cell r="N483">
            <v>118527.59</v>
          </cell>
          <cell r="O483">
            <v>-808.06</v>
          </cell>
          <cell r="P483">
            <v>13622.6</v>
          </cell>
          <cell r="Q483">
            <v>8088.92</v>
          </cell>
          <cell r="R483">
            <v>24169.15</v>
          </cell>
          <cell r="S483">
            <v>2415.75</v>
          </cell>
          <cell r="T483">
            <v>15603.19</v>
          </cell>
          <cell r="U483">
            <v>6040.29</v>
          </cell>
          <cell r="V483">
            <v>484.04</v>
          </cell>
          <cell r="W483">
            <v>1004.31</v>
          </cell>
          <cell r="X483">
            <v>7420.09</v>
          </cell>
          <cell r="Y483">
            <v>11539.78</v>
          </cell>
          <cell r="Z483">
            <v>108933.56</v>
          </cell>
          <cell r="AA483">
            <v>6409.14</v>
          </cell>
          <cell r="AB483">
            <v>36138.720000000001</v>
          </cell>
          <cell r="AC483">
            <v>10959.3</v>
          </cell>
          <cell r="AD483">
            <v>8290.43</v>
          </cell>
          <cell r="AE483">
            <v>3306.91</v>
          </cell>
          <cell r="AF483">
            <v>894.5</v>
          </cell>
          <cell r="AG483">
            <v>6283.14</v>
          </cell>
          <cell r="AH483">
            <v>1054.7</v>
          </cell>
          <cell r="AI483">
            <v>3223.64</v>
          </cell>
          <cell r="AJ483">
            <v>2259.21</v>
          </cell>
          <cell r="AK483">
            <v>113061.98</v>
          </cell>
          <cell r="AL483">
            <v>14575.26</v>
          </cell>
          <cell r="AM483">
            <v>50252.09</v>
          </cell>
          <cell r="AN483">
            <v>5752.23</v>
          </cell>
          <cell r="AO483">
            <v>15698.14</v>
          </cell>
          <cell r="AP483">
            <v>5451.85</v>
          </cell>
          <cell r="AQ483">
            <v>2168.66</v>
          </cell>
          <cell r="AR483">
            <v>3579.5</v>
          </cell>
          <cell r="AS483">
            <v>1355.1</v>
          </cell>
          <cell r="AT483">
            <v>3532.98</v>
          </cell>
          <cell r="AU483">
            <v>16387.669999999998</v>
          </cell>
          <cell r="AV483">
            <v>2583.09</v>
          </cell>
          <cell r="AW483">
            <v>0</v>
          </cell>
          <cell r="AX483">
            <v>125962.09</v>
          </cell>
          <cell r="AY483">
            <v>31782.959999999999</v>
          </cell>
          <cell r="AZ483">
            <v>9287.42</v>
          </cell>
          <cell r="BA483">
            <v>15798.77</v>
          </cell>
          <cell r="BB483">
            <v>3501.37</v>
          </cell>
          <cell r="BC483">
            <v>1880.7</v>
          </cell>
          <cell r="BD483">
            <v>732.15</v>
          </cell>
          <cell r="BE483">
            <v>2422.88</v>
          </cell>
          <cell r="BF483">
            <v>2664.09</v>
          </cell>
          <cell r="BG483">
            <v>12934.93</v>
          </cell>
          <cell r="BH483">
            <v>12824.21</v>
          </cell>
          <cell r="BI483">
            <v>3102.29</v>
          </cell>
          <cell r="BJ483">
            <v>118185.82</v>
          </cell>
          <cell r="BK483">
            <v>43906.67</v>
          </cell>
          <cell r="BL483">
            <v>14066.43</v>
          </cell>
          <cell r="BM483">
            <v>9658.74</v>
          </cell>
          <cell r="BN483">
            <v>3567.95</v>
          </cell>
          <cell r="BO483">
            <v>1401.66</v>
          </cell>
          <cell r="BP483">
            <v>1718.09</v>
          </cell>
          <cell r="BQ483">
            <v>1264.77</v>
          </cell>
          <cell r="BR483">
            <v>5384.9</v>
          </cell>
          <cell r="BS483">
            <v>4090.68</v>
          </cell>
          <cell r="BT483">
            <v>1401.56</v>
          </cell>
          <cell r="BU483">
            <v>6388.15</v>
          </cell>
          <cell r="BV483">
            <v>129982.97</v>
          </cell>
          <cell r="BW483">
            <v>50338.29</v>
          </cell>
          <cell r="BX483">
            <v>5841.48</v>
          </cell>
          <cell r="BY483">
            <v>5048.76</v>
          </cell>
          <cell r="BZ483">
            <v>19298.21</v>
          </cell>
          <cell r="CA483">
            <v>970.6</v>
          </cell>
          <cell r="CB483">
            <v>5335.44</v>
          </cell>
          <cell r="CC483">
            <v>6573.98</v>
          </cell>
          <cell r="CD483">
            <v>4686.46</v>
          </cell>
          <cell r="CE483">
            <v>3745.05</v>
          </cell>
          <cell r="CF483">
            <v>1366.37</v>
          </cell>
          <cell r="CG483">
            <v>14831.75</v>
          </cell>
          <cell r="CH483">
            <v>11663.96</v>
          </cell>
          <cell r="CI483">
            <v>155209.03</v>
          </cell>
          <cell r="CJ483">
            <v>1273.82</v>
          </cell>
          <cell r="CK483">
            <v>10681.66</v>
          </cell>
          <cell r="CL483">
            <v>12647.54</v>
          </cell>
          <cell r="CM483">
            <v>1494.26</v>
          </cell>
          <cell r="CN483">
            <v>7521.15</v>
          </cell>
          <cell r="CO483">
            <v>8674.61</v>
          </cell>
          <cell r="CP483">
            <v>4628.22</v>
          </cell>
          <cell r="CQ483">
            <v>2025.21</v>
          </cell>
          <cell r="CR483">
            <v>565.4</v>
          </cell>
          <cell r="CS483">
            <v>10223.620000000001</v>
          </cell>
          <cell r="CT483">
            <v>142803.14000000001</v>
          </cell>
          <cell r="CU483">
            <v>35401.31</v>
          </cell>
          <cell r="CV483">
            <v>2494.3000000000002</v>
          </cell>
          <cell r="CW483">
            <v>660.88</v>
          </cell>
          <cell r="CX483">
            <v>10156.26</v>
          </cell>
          <cell r="CY483">
            <v>213</v>
          </cell>
          <cell r="CZ483">
            <v>20414.009999999998</v>
          </cell>
          <cell r="DA483">
            <v>2065.29</v>
          </cell>
          <cell r="DB483">
            <v>6712.26</v>
          </cell>
          <cell r="DC483">
            <v>11839.62</v>
          </cell>
          <cell r="DD483">
            <v>17767.330000000002</v>
          </cell>
          <cell r="DE483">
            <v>1826.94</v>
          </cell>
          <cell r="DF483">
            <v>14142.87</v>
          </cell>
          <cell r="DG483">
            <v>144373.85</v>
          </cell>
          <cell r="DH483">
            <v>232666.61000000002</v>
          </cell>
        </row>
        <row r="484">
          <cell r="A484" t="str">
            <v>8850</v>
          </cell>
          <cell r="D484">
            <v>0</v>
          </cell>
          <cell r="E484">
            <v>0</v>
          </cell>
          <cell r="F484">
            <v>0</v>
          </cell>
          <cell r="G484">
            <v>0</v>
          </cell>
          <cell r="H484">
            <v>781.16</v>
          </cell>
          <cell r="I484">
            <v>0</v>
          </cell>
          <cell r="J484">
            <v>0</v>
          </cell>
          <cell r="K484">
            <v>0</v>
          </cell>
          <cell r="L484">
            <v>0</v>
          </cell>
          <cell r="M484">
            <v>131.29</v>
          </cell>
          <cell r="N484">
            <v>0</v>
          </cell>
          <cell r="O484">
            <v>0</v>
          </cell>
          <cell r="P484">
            <v>0</v>
          </cell>
          <cell r="Q484">
            <v>0</v>
          </cell>
          <cell r="R484">
            <v>0</v>
          </cell>
          <cell r="S484">
            <v>0</v>
          </cell>
          <cell r="T484">
            <v>1726.88</v>
          </cell>
          <cell r="U484">
            <v>966.19</v>
          </cell>
          <cell r="V484">
            <v>0</v>
          </cell>
          <cell r="W484">
            <v>62.88</v>
          </cell>
          <cell r="X484">
            <v>0</v>
          </cell>
          <cell r="Y484">
            <v>31.29</v>
          </cell>
          <cell r="Z484">
            <v>350.24</v>
          </cell>
          <cell r="AA484">
            <v>0</v>
          </cell>
          <cell r="AB484">
            <v>241.13</v>
          </cell>
          <cell r="AC484">
            <v>-0.01</v>
          </cell>
          <cell r="AD484">
            <v>0</v>
          </cell>
          <cell r="AE484">
            <v>469</v>
          </cell>
          <cell r="AF484">
            <v>4256</v>
          </cell>
          <cell r="AG484">
            <v>4158</v>
          </cell>
          <cell r="AH484">
            <v>718.38</v>
          </cell>
          <cell r="AI484">
            <v>13388.06</v>
          </cell>
          <cell r="AJ484">
            <v>-4254.1000000000004</v>
          </cell>
          <cell r="AK484">
            <v>5416.65</v>
          </cell>
          <cell r="AL484">
            <v>9786.42</v>
          </cell>
          <cell r="AM484">
            <v>1836.96</v>
          </cell>
          <cell r="AN484">
            <v>1102.75</v>
          </cell>
          <cell r="AO484">
            <v>2620.0500000000002</v>
          </cell>
          <cell r="AP484">
            <v>574.89</v>
          </cell>
          <cell r="AQ484">
            <v>996.15</v>
          </cell>
          <cell r="AR484">
            <v>11951.54</v>
          </cell>
          <cell r="AS484">
            <v>4921.12</v>
          </cell>
          <cell r="AT484">
            <v>78.08</v>
          </cell>
          <cell r="AU484">
            <v>6221.63</v>
          </cell>
          <cell r="AV484">
            <v>599.82000000000005</v>
          </cell>
          <cell r="AW484">
            <v>508.25</v>
          </cell>
          <cell r="AX484">
            <v>1290.32</v>
          </cell>
          <cell r="AY484">
            <v>0</v>
          </cell>
          <cell r="AZ484">
            <v>185.03</v>
          </cell>
          <cell r="BA484">
            <v>16144.23</v>
          </cell>
          <cell r="BB484">
            <v>3314.88</v>
          </cell>
          <cell r="BC484">
            <v>5138.5600000000004</v>
          </cell>
          <cell r="BD484">
            <v>3642.07</v>
          </cell>
          <cell r="BE484">
            <v>6737.99</v>
          </cell>
          <cell r="BF484">
            <v>231.62</v>
          </cell>
          <cell r="BG484">
            <v>272.61</v>
          </cell>
          <cell r="BH484">
            <v>9916.76</v>
          </cell>
          <cell r="BI484">
            <v>3507.06</v>
          </cell>
          <cell r="BJ484">
            <v>7308.29</v>
          </cell>
          <cell r="BK484">
            <v>12896.06</v>
          </cell>
          <cell r="BL484">
            <v>8657.4500000000007</v>
          </cell>
          <cell r="BM484">
            <v>15306.06</v>
          </cell>
          <cell r="BN484">
            <v>-14191.01</v>
          </cell>
          <cell r="BO484">
            <v>476.96</v>
          </cell>
          <cell r="BP484">
            <v>610.38</v>
          </cell>
          <cell r="BQ484">
            <v>11223.12</v>
          </cell>
          <cell r="BR484">
            <v>0</v>
          </cell>
          <cell r="BS484">
            <v>847</v>
          </cell>
          <cell r="BT484">
            <v>0</v>
          </cell>
          <cell r="BU484">
            <v>1027.92</v>
          </cell>
          <cell r="BV484">
            <v>9327.0499999999993</v>
          </cell>
          <cell r="BW484">
            <v>13</v>
          </cell>
          <cell r="BX484">
            <v>0</v>
          </cell>
          <cell r="BY484">
            <v>476.33</v>
          </cell>
          <cell r="BZ484">
            <v>0</v>
          </cell>
          <cell r="CA484">
            <v>5425</v>
          </cell>
          <cell r="CB484">
            <v>565.22</v>
          </cell>
          <cell r="CC484">
            <v>769.01</v>
          </cell>
          <cell r="CD484">
            <v>5711.16</v>
          </cell>
          <cell r="CE484">
            <v>508.81</v>
          </cell>
          <cell r="CF484">
            <v>13575.79</v>
          </cell>
          <cell r="CG484">
            <v>10777.19</v>
          </cell>
          <cell r="CH484">
            <v>4521.3100000000004</v>
          </cell>
          <cell r="CI484">
            <v>9332.44</v>
          </cell>
          <cell r="CJ484">
            <v>1812.99</v>
          </cell>
          <cell r="CK484">
            <v>1829.81</v>
          </cell>
          <cell r="CL484">
            <v>505.91</v>
          </cell>
          <cell r="CM484">
            <v>2723.98</v>
          </cell>
          <cell r="CN484">
            <v>1598.93</v>
          </cell>
          <cell r="CO484">
            <v>4847.1000000000004</v>
          </cell>
          <cell r="CP484">
            <v>2490.38</v>
          </cell>
          <cell r="CQ484">
            <v>573.95000000000005</v>
          </cell>
          <cell r="CR484">
            <v>12878.69</v>
          </cell>
          <cell r="CS484">
            <v>1161.2</v>
          </cell>
          <cell r="CT484">
            <v>4384.7</v>
          </cell>
          <cell r="CU484">
            <v>2878.47</v>
          </cell>
          <cell r="CV484">
            <v>1935.25</v>
          </cell>
          <cell r="CW484">
            <v>2688.6</v>
          </cell>
          <cell r="CX484">
            <v>562.54</v>
          </cell>
          <cell r="CY484">
            <v>13954.92</v>
          </cell>
          <cell r="CZ484">
            <v>4003.95</v>
          </cell>
          <cell r="DA484">
            <v>5823.37</v>
          </cell>
          <cell r="DB484">
            <v>706.42</v>
          </cell>
          <cell r="DC484">
            <v>933.54</v>
          </cell>
          <cell r="DD484">
            <v>2335.1999999999998</v>
          </cell>
          <cell r="DE484">
            <v>741.85</v>
          </cell>
          <cell r="DF484">
            <v>903.76</v>
          </cell>
          <cell r="DG484">
            <v>6170.83</v>
          </cell>
          <cell r="DH484">
            <v>40760.230000000003</v>
          </cell>
        </row>
        <row r="485">
          <cell r="A485" t="str">
            <v>8860</v>
          </cell>
          <cell r="D485">
            <v>12271.29</v>
          </cell>
          <cell r="E485">
            <v>11655.78</v>
          </cell>
          <cell r="F485">
            <v>5142.54</v>
          </cell>
          <cell r="G485">
            <v>8103.9</v>
          </cell>
          <cell r="H485">
            <v>11513.9</v>
          </cell>
          <cell r="I485">
            <v>11074.63</v>
          </cell>
          <cell r="J485">
            <v>7513.88</v>
          </cell>
          <cell r="K485">
            <v>9137.6299999999992</v>
          </cell>
          <cell r="L485">
            <v>11778.7</v>
          </cell>
          <cell r="M485">
            <v>11632.16</v>
          </cell>
          <cell r="N485">
            <v>7093.73</v>
          </cell>
          <cell r="O485">
            <v>13839.2</v>
          </cell>
          <cell r="P485">
            <v>7863.3</v>
          </cell>
          <cell r="Q485">
            <v>10942.38</v>
          </cell>
          <cell r="R485">
            <v>20240.09</v>
          </cell>
          <cell r="S485">
            <v>10584.36</v>
          </cell>
          <cell r="T485">
            <v>13763.68</v>
          </cell>
          <cell r="U485">
            <v>8820.11</v>
          </cell>
          <cell r="V485">
            <v>10826.25</v>
          </cell>
          <cell r="W485">
            <v>8077.84</v>
          </cell>
          <cell r="X485">
            <v>10378.73</v>
          </cell>
          <cell r="Y485">
            <v>14930.98</v>
          </cell>
          <cell r="Z485">
            <v>12805.66</v>
          </cell>
          <cell r="AA485">
            <v>13625.19</v>
          </cell>
          <cell r="AB485">
            <v>12114.55</v>
          </cell>
          <cell r="AC485">
            <v>20470.59</v>
          </cell>
          <cell r="AD485">
            <v>5659.79</v>
          </cell>
          <cell r="AE485">
            <v>7578.63</v>
          </cell>
          <cell r="AF485">
            <v>6325.72</v>
          </cell>
          <cell r="AG485">
            <v>21841.01</v>
          </cell>
          <cell r="AH485">
            <v>21797.94</v>
          </cell>
          <cell r="AI485">
            <v>9107.01</v>
          </cell>
          <cell r="AJ485">
            <v>8915.68</v>
          </cell>
          <cell r="AK485">
            <v>11623.95</v>
          </cell>
          <cell r="AL485">
            <v>19499.509999999998</v>
          </cell>
          <cell r="AM485">
            <v>16273.77</v>
          </cell>
          <cell r="AN485">
            <v>8158.34</v>
          </cell>
          <cell r="AO485">
            <v>19158.650000000001</v>
          </cell>
          <cell r="AP485">
            <v>37075.160000000003</v>
          </cell>
          <cell r="AQ485">
            <v>9857.6</v>
          </cell>
          <cell r="AR485">
            <v>8717.59</v>
          </cell>
          <cell r="AS485">
            <v>-18469.34</v>
          </cell>
          <cell r="AT485">
            <v>11196.81</v>
          </cell>
          <cell r="AU485">
            <v>13713.12</v>
          </cell>
          <cell r="AV485">
            <v>17942.52</v>
          </cell>
          <cell r="AW485">
            <v>11842.23</v>
          </cell>
          <cell r="AX485">
            <v>13163.77</v>
          </cell>
          <cell r="AY485">
            <v>44602.69</v>
          </cell>
          <cell r="AZ485">
            <v>10994.37</v>
          </cell>
          <cell r="BA485">
            <v>20284.87</v>
          </cell>
          <cell r="BB485">
            <v>8850.84</v>
          </cell>
          <cell r="BC485">
            <v>11312.13</v>
          </cell>
          <cell r="BD485">
            <v>16253.83</v>
          </cell>
          <cell r="BE485">
            <v>6331.45</v>
          </cell>
          <cell r="BF485">
            <v>10609.09</v>
          </cell>
          <cell r="BG485">
            <v>21739.3</v>
          </cell>
          <cell r="BH485">
            <v>16557</v>
          </cell>
          <cell r="BI485">
            <v>25342.76</v>
          </cell>
          <cell r="BJ485">
            <v>12067.24</v>
          </cell>
          <cell r="BK485">
            <v>21927.3</v>
          </cell>
          <cell r="BL485">
            <v>9052.69</v>
          </cell>
          <cell r="BM485">
            <v>21183.54</v>
          </cell>
          <cell r="BN485">
            <v>11180.08</v>
          </cell>
          <cell r="BO485">
            <v>13790.55</v>
          </cell>
          <cell r="BP485">
            <v>12464.75</v>
          </cell>
          <cell r="BQ485">
            <v>11156.08</v>
          </cell>
          <cell r="BR485">
            <v>12138.87</v>
          </cell>
          <cell r="BS485">
            <v>14685.41</v>
          </cell>
          <cell r="BT485">
            <v>18072.36</v>
          </cell>
          <cell r="BU485">
            <v>19222.39</v>
          </cell>
          <cell r="BV485">
            <v>20330.59</v>
          </cell>
          <cell r="BW485">
            <v>45162.45</v>
          </cell>
          <cell r="BX485">
            <v>12992.1</v>
          </cell>
          <cell r="BY485">
            <v>17254.810000000001</v>
          </cell>
          <cell r="BZ485">
            <v>15418.78</v>
          </cell>
          <cell r="CA485">
            <v>7180.16</v>
          </cell>
          <cell r="CB485">
            <v>8855.36</v>
          </cell>
          <cell r="CC485">
            <v>10393.41</v>
          </cell>
          <cell r="CD485">
            <v>16993.349999999999</v>
          </cell>
          <cell r="CE485">
            <v>15601.84</v>
          </cell>
          <cell r="CF485">
            <v>8181.59</v>
          </cell>
          <cell r="CG485">
            <v>14464.81</v>
          </cell>
          <cell r="CH485">
            <v>11553.69</v>
          </cell>
          <cell r="CI485">
            <v>19563.86</v>
          </cell>
          <cell r="CJ485">
            <v>12307.03</v>
          </cell>
          <cell r="CK485">
            <v>24138.69</v>
          </cell>
          <cell r="CL485">
            <v>15904.53</v>
          </cell>
          <cell r="CM485">
            <v>11296.54</v>
          </cell>
          <cell r="CN485">
            <v>11551.61</v>
          </cell>
          <cell r="CO485">
            <v>15272.51</v>
          </cell>
          <cell r="CP485">
            <v>14936.58</v>
          </cell>
          <cell r="CQ485">
            <v>8015.89</v>
          </cell>
          <cell r="CR485">
            <v>26149.81</v>
          </cell>
          <cell r="CS485">
            <v>16579</v>
          </cell>
          <cell r="CT485">
            <v>17135.54</v>
          </cell>
          <cell r="CU485">
            <v>18001.59</v>
          </cell>
          <cell r="CV485">
            <v>19211.939999999999</v>
          </cell>
          <cell r="CW485">
            <v>24529.26</v>
          </cell>
          <cell r="CX485">
            <v>21041.34</v>
          </cell>
          <cell r="CY485">
            <v>16078.91</v>
          </cell>
          <cell r="CZ485">
            <v>17664.28</v>
          </cell>
          <cell r="DA485">
            <v>29529.68</v>
          </cell>
          <cell r="DB485">
            <v>20508.14</v>
          </cell>
          <cell r="DC485">
            <v>24597.91</v>
          </cell>
          <cell r="DD485">
            <v>12260.66</v>
          </cell>
          <cell r="DE485">
            <v>20296.5</v>
          </cell>
          <cell r="DF485">
            <v>26478.52</v>
          </cell>
          <cell r="DG485">
            <v>14959.03</v>
          </cell>
          <cell r="DH485">
            <v>247156.16999999998</v>
          </cell>
        </row>
        <row r="486">
          <cell r="A486" t="str">
            <v>8870</v>
          </cell>
          <cell r="D486">
            <v>374549.5</v>
          </cell>
          <cell r="E486">
            <v>526412.38</v>
          </cell>
          <cell r="F486">
            <v>384068.37</v>
          </cell>
          <cell r="G486">
            <v>711498.39</v>
          </cell>
          <cell r="H486">
            <v>302680.2</v>
          </cell>
          <cell r="I486">
            <v>332323.17</v>
          </cell>
          <cell r="J486">
            <v>563179.92000000004</v>
          </cell>
          <cell r="K486">
            <v>576366.16</v>
          </cell>
          <cell r="L486">
            <v>472555.37</v>
          </cell>
          <cell r="M486">
            <v>232772.09</v>
          </cell>
          <cell r="N486">
            <v>217689.33</v>
          </cell>
          <cell r="O486">
            <v>279587.07</v>
          </cell>
          <cell r="P486">
            <v>225102.6</v>
          </cell>
          <cell r="Q486">
            <v>428574.85</v>
          </cell>
          <cell r="R486">
            <v>406850.3</v>
          </cell>
          <cell r="S486">
            <v>604652.06999999995</v>
          </cell>
          <cell r="T486">
            <v>40054.49</v>
          </cell>
          <cell r="U486">
            <v>301579.75</v>
          </cell>
          <cell r="V486">
            <v>390118.92</v>
          </cell>
          <cell r="W486">
            <v>288130.89</v>
          </cell>
          <cell r="X486">
            <v>408847.03</v>
          </cell>
          <cell r="Y486">
            <v>257749.87</v>
          </cell>
          <cell r="Z486">
            <v>534171.49</v>
          </cell>
          <cell r="AA486">
            <v>591013.43999999994</v>
          </cell>
          <cell r="AB486">
            <v>456062.67</v>
          </cell>
          <cell r="AC486">
            <v>375644.04</v>
          </cell>
          <cell r="AD486">
            <v>393843.86</v>
          </cell>
          <cell r="AE486">
            <v>397257.91</v>
          </cell>
          <cell r="AF486">
            <v>-197161.19</v>
          </cell>
          <cell r="AG486">
            <v>540905.79</v>
          </cell>
          <cell r="AH486">
            <v>291428.90999999997</v>
          </cell>
          <cell r="AI486">
            <v>290315.07</v>
          </cell>
          <cell r="AJ486">
            <v>247986.43</v>
          </cell>
          <cell r="AK486">
            <v>590683.11</v>
          </cell>
          <cell r="AL486">
            <v>609634.64</v>
          </cell>
          <cell r="AM486">
            <v>609111.26</v>
          </cell>
          <cell r="AN486">
            <v>226599.29</v>
          </cell>
          <cell r="AO486">
            <v>311016.27</v>
          </cell>
          <cell r="AP486">
            <v>-4507.62</v>
          </cell>
          <cell r="AQ486">
            <v>352295.77</v>
          </cell>
          <cell r="AR486">
            <v>275481.95</v>
          </cell>
          <cell r="AS486">
            <v>279594.52</v>
          </cell>
          <cell r="AT486">
            <v>268892.21000000002</v>
          </cell>
          <cell r="AU486">
            <v>255551.99</v>
          </cell>
          <cell r="AV486">
            <v>215273.97</v>
          </cell>
          <cell r="AW486">
            <v>250581.65</v>
          </cell>
          <cell r="AX486">
            <v>259855.48</v>
          </cell>
          <cell r="AY486">
            <v>273567.59000000003</v>
          </cell>
          <cell r="AZ486">
            <v>215181.65</v>
          </cell>
          <cell r="BA486">
            <v>206475.93</v>
          </cell>
          <cell r="BB486">
            <v>296206.52</v>
          </cell>
          <cell r="BC486">
            <v>245378.54</v>
          </cell>
          <cell r="BD486">
            <v>341996.06</v>
          </cell>
          <cell r="BE486">
            <v>316356.76</v>
          </cell>
          <cell r="BF486">
            <v>255980.18</v>
          </cell>
          <cell r="BG486">
            <v>522541.83</v>
          </cell>
          <cell r="BH486">
            <v>526050.84</v>
          </cell>
          <cell r="BI486">
            <v>330617.57</v>
          </cell>
          <cell r="BJ486">
            <v>1154502</v>
          </cell>
          <cell r="BK486">
            <v>506129.68</v>
          </cell>
          <cell r="BL486">
            <v>310438.38</v>
          </cell>
          <cell r="BM486">
            <v>199600.03</v>
          </cell>
          <cell r="BN486">
            <v>242903.64</v>
          </cell>
          <cell r="BO486">
            <v>309224.15000000002</v>
          </cell>
          <cell r="BP486">
            <v>254179</v>
          </cell>
          <cell r="BQ486">
            <v>212341.69</v>
          </cell>
          <cell r="BR486">
            <v>261141.38</v>
          </cell>
          <cell r="BS486">
            <v>234468.2</v>
          </cell>
          <cell r="BT486">
            <v>294702.53000000003</v>
          </cell>
          <cell r="BU486">
            <v>359431.2</v>
          </cell>
          <cell r="BV486">
            <v>276239.75</v>
          </cell>
          <cell r="BW486">
            <v>386937.79</v>
          </cell>
          <cell r="BX486">
            <v>157736.14000000001</v>
          </cell>
          <cell r="BY486">
            <v>465110.35</v>
          </cell>
          <cell r="BZ486">
            <v>360770.47</v>
          </cell>
          <cell r="CA486">
            <v>151194.26999999999</v>
          </cell>
          <cell r="CB486">
            <v>197152.47</v>
          </cell>
          <cell r="CC486">
            <v>256663.26</v>
          </cell>
          <cell r="CD486">
            <v>233184.68</v>
          </cell>
          <cell r="CE486">
            <v>326665.94</v>
          </cell>
          <cell r="CF486">
            <v>237260.74</v>
          </cell>
          <cell r="CG486">
            <v>292006.65000000002</v>
          </cell>
          <cell r="CH486">
            <v>227812.63</v>
          </cell>
          <cell r="CI486">
            <v>245348.36</v>
          </cell>
          <cell r="CJ486">
            <v>503819.2</v>
          </cell>
          <cell r="CK486">
            <v>452532.97</v>
          </cell>
          <cell r="CL486">
            <v>243150.47</v>
          </cell>
          <cell r="CM486">
            <v>424141.89</v>
          </cell>
          <cell r="CN486">
            <v>374723.94</v>
          </cell>
          <cell r="CO486">
            <v>457100.81</v>
          </cell>
          <cell r="CP486">
            <v>519317.66</v>
          </cell>
          <cell r="CQ486">
            <v>171619.87</v>
          </cell>
          <cell r="CR486">
            <v>378082.1</v>
          </cell>
          <cell r="CS486">
            <v>345517.04</v>
          </cell>
          <cell r="CT486">
            <v>408044.83</v>
          </cell>
          <cell r="CU486">
            <v>435465.45</v>
          </cell>
          <cell r="CV486">
            <v>442724.94</v>
          </cell>
          <cell r="CW486">
            <v>321573.81</v>
          </cell>
          <cell r="CX486">
            <v>1050648.5900000001</v>
          </cell>
          <cell r="CY486">
            <v>-60179.95</v>
          </cell>
          <cell r="CZ486">
            <v>504416.13</v>
          </cell>
          <cell r="DA486">
            <v>486559.72</v>
          </cell>
          <cell r="DB486">
            <v>133960.85</v>
          </cell>
          <cell r="DC486">
            <v>509789.81</v>
          </cell>
          <cell r="DD486">
            <v>373041.99</v>
          </cell>
          <cell r="DE486">
            <v>342329.99</v>
          </cell>
          <cell r="DF486">
            <v>732702.17</v>
          </cell>
          <cell r="DG486">
            <v>120032.21</v>
          </cell>
          <cell r="DH486">
            <v>4957600.2600000007</v>
          </cell>
        </row>
        <row r="487">
          <cell r="A487" t="str">
            <v>8880</v>
          </cell>
          <cell r="D487">
            <v>0</v>
          </cell>
          <cell r="E487">
            <v>0</v>
          </cell>
          <cell r="F487">
            <v>137.56</v>
          </cell>
          <cell r="G487">
            <v>0</v>
          </cell>
          <cell r="H487">
            <v>144.47999999999999</v>
          </cell>
          <cell r="I487">
            <v>0</v>
          </cell>
          <cell r="J487">
            <v>0</v>
          </cell>
          <cell r="K487">
            <v>1874.62</v>
          </cell>
          <cell r="L487">
            <v>0.16</v>
          </cell>
          <cell r="M487">
            <v>0</v>
          </cell>
          <cell r="N487">
            <v>0</v>
          </cell>
          <cell r="O487">
            <v>1057</v>
          </cell>
          <cell r="P487">
            <v>0</v>
          </cell>
          <cell r="Q487">
            <v>0</v>
          </cell>
          <cell r="R487">
            <v>0</v>
          </cell>
          <cell r="S487">
            <v>740.95</v>
          </cell>
          <cell r="T487">
            <v>0</v>
          </cell>
          <cell r="U487">
            <v>0</v>
          </cell>
          <cell r="V487">
            <v>0</v>
          </cell>
          <cell r="W487">
            <v>0</v>
          </cell>
          <cell r="X487">
            <v>0</v>
          </cell>
          <cell r="Y487">
            <v>30794.400000000001</v>
          </cell>
          <cell r="Z487">
            <v>61448.29</v>
          </cell>
          <cell r="AA487">
            <v>16938</v>
          </cell>
          <cell r="AB487">
            <v>17423.14</v>
          </cell>
          <cell r="AC487">
            <v>25006.68</v>
          </cell>
          <cell r="AD487">
            <v>15389.12</v>
          </cell>
          <cell r="AE487">
            <v>11116.96</v>
          </cell>
          <cell r="AF487">
            <v>8701.35</v>
          </cell>
          <cell r="AG487">
            <v>9003.07</v>
          </cell>
          <cell r="AH487">
            <v>9870.82</v>
          </cell>
          <cell r="AI487">
            <v>10179.82</v>
          </cell>
          <cell r="AJ487">
            <v>9549.5499999999993</v>
          </cell>
          <cell r="AK487">
            <v>9017.11</v>
          </cell>
          <cell r="AL487">
            <v>9806.02</v>
          </cell>
          <cell r="AM487">
            <v>10370.620000000001</v>
          </cell>
          <cell r="AN487">
            <v>8531.11</v>
          </cell>
          <cell r="AO487">
            <v>8027.23</v>
          </cell>
          <cell r="AP487">
            <v>9099.66</v>
          </cell>
          <cell r="AQ487">
            <v>9715.44</v>
          </cell>
          <cell r="AR487">
            <v>9710.69</v>
          </cell>
          <cell r="AS487">
            <v>8660.68</v>
          </cell>
          <cell r="AT487">
            <v>8614.89</v>
          </cell>
          <cell r="AU487">
            <v>10731.26</v>
          </cell>
          <cell r="AV487">
            <v>11287.17</v>
          </cell>
          <cell r="AW487">
            <v>10341.459999999999</v>
          </cell>
          <cell r="AX487">
            <v>9645.0499999999993</v>
          </cell>
          <cell r="AY487">
            <v>8063</v>
          </cell>
          <cell r="AZ487">
            <v>7607.55</v>
          </cell>
          <cell r="BA487">
            <v>9021.51</v>
          </cell>
          <cell r="BB487">
            <v>9777.0400000000009</v>
          </cell>
          <cell r="BC487">
            <v>8210.7999999999993</v>
          </cell>
          <cell r="BD487">
            <v>12799.85</v>
          </cell>
          <cell r="BE487">
            <v>8121.86</v>
          </cell>
          <cell r="BF487">
            <v>8748.6</v>
          </cell>
          <cell r="BG487">
            <v>12180.49</v>
          </cell>
          <cell r="BH487">
            <v>8274.27</v>
          </cell>
          <cell r="BI487">
            <v>10258.719999999999</v>
          </cell>
          <cell r="BJ487">
            <v>5791.37</v>
          </cell>
          <cell r="BK487">
            <v>7265.18</v>
          </cell>
          <cell r="BL487">
            <v>6440.45</v>
          </cell>
          <cell r="BM487">
            <v>9543.0499999999993</v>
          </cell>
          <cell r="BN487">
            <v>6374.24</v>
          </cell>
          <cell r="BO487">
            <v>5801.51</v>
          </cell>
          <cell r="BP487">
            <v>6824.47</v>
          </cell>
          <cell r="BQ487">
            <v>7816.95</v>
          </cell>
          <cell r="BR487">
            <v>8446.2999999999993</v>
          </cell>
          <cell r="BS487">
            <v>9146.82</v>
          </cell>
          <cell r="BT487">
            <v>8525.77</v>
          </cell>
          <cell r="BU487">
            <v>8064.06</v>
          </cell>
          <cell r="BV487">
            <v>9188.74</v>
          </cell>
          <cell r="BW487">
            <v>5549.38</v>
          </cell>
          <cell r="BX487">
            <v>9073.9599999999991</v>
          </cell>
          <cell r="BY487">
            <v>4760.13</v>
          </cell>
          <cell r="BZ487">
            <v>0</v>
          </cell>
          <cell r="CA487">
            <v>0</v>
          </cell>
          <cell r="CB487">
            <v>0</v>
          </cell>
          <cell r="CC487">
            <v>0</v>
          </cell>
          <cell r="CD487">
            <v>0</v>
          </cell>
          <cell r="CE487">
            <v>0</v>
          </cell>
          <cell r="CF487">
            <v>0</v>
          </cell>
          <cell r="CG487">
            <v>0</v>
          </cell>
          <cell r="CH487">
            <v>0</v>
          </cell>
          <cell r="CI487">
            <v>0</v>
          </cell>
          <cell r="CJ487">
            <v>0</v>
          </cell>
          <cell r="CK487">
            <v>61.41</v>
          </cell>
          <cell r="CL487">
            <v>0</v>
          </cell>
          <cell r="CM487">
            <v>0</v>
          </cell>
          <cell r="CN487">
            <v>0</v>
          </cell>
          <cell r="CO487">
            <v>0</v>
          </cell>
          <cell r="CP487">
            <v>1593.63</v>
          </cell>
          <cell r="CQ487">
            <v>6539.85</v>
          </cell>
          <cell r="CR487">
            <v>98.44</v>
          </cell>
          <cell r="CS487">
            <v>2437.16</v>
          </cell>
          <cell r="CT487">
            <v>0</v>
          </cell>
          <cell r="CU487">
            <v>1107.25</v>
          </cell>
          <cell r="CV487">
            <v>0</v>
          </cell>
          <cell r="CW487">
            <v>0</v>
          </cell>
          <cell r="CX487">
            <v>0</v>
          </cell>
          <cell r="CY487">
            <v>0</v>
          </cell>
          <cell r="CZ487">
            <v>0</v>
          </cell>
          <cell r="DA487">
            <v>1071.99</v>
          </cell>
          <cell r="DB487">
            <v>20.190000000000001</v>
          </cell>
          <cell r="DC487">
            <v>40</v>
          </cell>
          <cell r="DD487">
            <v>0</v>
          </cell>
          <cell r="DE487">
            <v>0</v>
          </cell>
          <cell r="DF487">
            <v>2407.36</v>
          </cell>
          <cell r="DG487">
            <v>1108</v>
          </cell>
          <cell r="DH487">
            <v>4647.54</v>
          </cell>
        </row>
        <row r="488">
          <cell r="A488" t="str">
            <v>8890</v>
          </cell>
          <cell r="D488">
            <v>64177.48</v>
          </cell>
          <cell r="E488">
            <v>58194.71</v>
          </cell>
          <cell r="F488">
            <v>68186.39</v>
          </cell>
          <cell r="G488">
            <v>52586.27</v>
          </cell>
          <cell r="H488">
            <v>59473.58</v>
          </cell>
          <cell r="I488">
            <v>75171.25</v>
          </cell>
          <cell r="J488">
            <v>83260.100000000006</v>
          </cell>
          <cell r="K488">
            <v>72055.539999999994</v>
          </cell>
          <cell r="L488">
            <v>53148.959999999999</v>
          </cell>
          <cell r="M488">
            <v>42028.29</v>
          </cell>
          <cell r="N488">
            <v>61133.01</v>
          </cell>
          <cell r="O488">
            <v>93703.55</v>
          </cell>
          <cell r="P488">
            <v>52732.07</v>
          </cell>
          <cell r="Q488">
            <v>73515.17</v>
          </cell>
          <cell r="R488">
            <v>82354.5</v>
          </cell>
          <cell r="S488">
            <v>63059.199999999997</v>
          </cell>
          <cell r="T488">
            <v>54402.71</v>
          </cell>
          <cell r="U488">
            <v>53000.35</v>
          </cell>
          <cell r="V488">
            <v>64771.08</v>
          </cell>
          <cell r="W488">
            <v>62072.33</v>
          </cell>
          <cell r="X488">
            <v>63613.79</v>
          </cell>
          <cell r="Y488">
            <v>60823.39</v>
          </cell>
          <cell r="Z488">
            <v>41793.26</v>
          </cell>
          <cell r="AA488">
            <v>56690.62</v>
          </cell>
          <cell r="AB488">
            <v>53867.5</v>
          </cell>
          <cell r="AC488">
            <v>49890.46</v>
          </cell>
          <cell r="AD488">
            <v>56578.06</v>
          </cell>
          <cell r="AE488">
            <v>56460.57</v>
          </cell>
          <cell r="AF488">
            <v>54141.89</v>
          </cell>
          <cell r="AG488">
            <v>68669.31</v>
          </cell>
          <cell r="AH488">
            <v>66329.929999999993</v>
          </cell>
          <cell r="AI488">
            <v>50343.43</v>
          </cell>
          <cell r="AJ488">
            <v>55643.25</v>
          </cell>
          <cell r="AK488">
            <v>46594.7</v>
          </cell>
          <cell r="AL488">
            <v>43331.9</v>
          </cell>
          <cell r="AM488">
            <v>42339.93</v>
          </cell>
          <cell r="AN488">
            <v>52279.6</v>
          </cell>
          <cell r="AO488">
            <v>55786.86</v>
          </cell>
          <cell r="AP488">
            <v>58588.5</v>
          </cell>
          <cell r="AQ488">
            <v>45150.92</v>
          </cell>
          <cell r="AR488">
            <v>64503.14</v>
          </cell>
          <cell r="AS488">
            <v>56062.06</v>
          </cell>
          <cell r="AT488">
            <v>44952.2</v>
          </cell>
          <cell r="AU488">
            <v>61094.06</v>
          </cell>
          <cell r="AV488">
            <v>54197.29</v>
          </cell>
          <cell r="AW488">
            <v>44848.85</v>
          </cell>
          <cell r="AX488">
            <v>47750.11</v>
          </cell>
          <cell r="AY488">
            <v>40885.54</v>
          </cell>
          <cell r="AZ488">
            <v>42203.4</v>
          </cell>
          <cell r="BA488">
            <v>51437.39</v>
          </cell>
          <cell r="BB488">
            <v>60677.79</v>
          </cell>
          <cell r="BC488">
            <v>60386.3</v>
          </cell>
          <cell r="BD488">
            <v>54712.37</v>
          </cell>
          <cell r="BE488">
            <v>40402.71</v>
          </cell>
          <cell r="BF488">
            <v>42178.7</v>
          </cell>
          <cell r="BG488">
            <v>42992.7</v>
          </cell>
          <cell r="BH488">
            <v>42723.05</v>
          </cell>
          <cell r="BI488">
            <v>38166.620000000003</v>
          </cell>
          <cell r="BJ488">
            <v>21543.919999999998</v>
          </cell>
          <cell r="BK488">
            <v>26215.37</v>
          </cell>
          <cell r="BL488">
            <v>37663.370000000003</v>
          </cell>
          <cell r="BM488">
            <v>42753.73</v>
          </cell>
          <cell r="BN488">
            <v>45098.92</v>
          </cell>
          <cell r="BO488">
            <v>63621.41</v>
          </cell>
          <cell r="BP488">
            <v>58925.599999999999</v>
          </cell>
          <cell r="BQ488">
            <v>40780.42</v>
          </cell>
          <cell r="BR488">
            <v>54319.17</v>
          </cell>
          <cell r="BS488">
            <v>59572.52</v>
          </cell>
          <cell r="BT488">
            <v>55822.13</v>
          </cell>
          <cell r="BU488">
            <v>63072.49</v>
          </cell>
          <cell r="BV488">
            <v>61022.54</v>
          </cell>
          <cell r="BW488">
            <v>88885.7</v>
          </cell>
          <cell r="BX488">
            <v>46603.28</v>
          </cell>
          <cell r="BY488">
            <v>53267.1</v>
          </cell>
          <cell r="BZ488">
            <v>53993.61</v>
          </cell>
          <cell r="CA488">
            <v>54561.760000000002</v>
          </cell>
          <cell r="CB488">
            <v>51720.08</v>
          </cell>
          <cell r="CC488">
            <v>49747.519999999997</v>
          </cell>
          <cell r="CD488">
            <v>47858.73</v>
          </cell>
          <cell r="CE488">
            <v>48124.85</v>
          </cell>
          <cell r="CF488">
            <v>92903.74</v>
          </cell>
          <cell r="CG488">
            <v>19593.36</v>
          </cell>
          <cell r="CH488">
            <v>59262.63</v>
          </cell>
          <cell r="CI488">
            <v>57892.72</v>
          </cell>
          <cell r="CJ488">
            <v>57970.46</v>
          </cell>
          <cell r="CK488">
            <v>53676.81</v>
          </cell>
          <cell r="CL488">
            <v>63250.07</v>
          </cell>
          <cell r="CM488">
            <v>79237.38</v>
          </cell>
          <cell r="CN488">
            <v>67178.259999999995</v>
          </cell>
          <cell r="CO488">
            <v>61456.4</v>
          </cell>
          <cell r="CP488">
            <v>59511.44</v>
          </cell>
          <cell r="CQ488">
            <v>65378.73</v>
          </cell>
          <cell r="CR488">
            <v>73708.31</v>
          </cell>
          <cell r="CS488">
            <v>81813.09</v>
          </cell>
          <cell r="CT488">
            <v>89625.59</v>
          </cell>
          <cell r="CU488">
            <v>98699.32</v>
          </cell>
          <cell r="CV488">
            <v>73066.22</v>
          </cell>
          <cell r="CW488">
            <v>85125.65</v>
          </cell>
          <cell r="CX488">
            <v>74400.210000000006</v>
          </cell>
          <cell r="CY488">
            <v>60640.72</v>
          </cell>
          <cell r="CZ488">
            <v>92635.81</v>
          </cell>
          <cell r="DA488">
            <v>92759.39</v>
          </cell>
          <cell r="DB488">
            <v>65928.61</v>
          </cell>
          <cell r="DC488">
            <v>72970.63</v>
          </cell>
          <cell r="DD488">
            <v>74673.27</v>
          </cell>
          <cell r="DE488">
            <v>61441.74</v>
          </cell>
          <cell r="DF488">
            <v>61236.14</v>
          </cell>
          <cell r="DG488">
            <v>41984.99</v>
          </cell>
          <cell r="DH488">
            <v>856863.38000000012</v>
          </cell>
        </row>
        <row r="489">
          <cell r="A489" t="str">
            <v>8900</v>
          </cell>
          <cell r="D489">
            <v>42205.07</v>
          </cell>
          <cell r="E489">
            <v>44195.06</v>
          </cell>
          <cell r="F489">
            <v>54296.13</v>
          </cell>
          <cell r="G489">
            <v>50398.89</v>
          </cell>
          <cell r="H489">
            <v>49811.01</v>
          </cell>
          <cell r="I489">
            <v>52959.45</v>
          </cell>
          <cell r="J489">
            <v>43651.21</v>
          </cell>
          <cell r="K489">
            <v>53858.52</v>
          </cell>
          <cell r="L489">
            <v>44194.16</v>
          </cell>
          <cell r="M489">
            <v>44268.94</v>
          </cell>
          <cell r="N489">
            <v>42992.46</v>
          </cell>
          <cell r="O489">
            <v>47873.03</v>
          </cell>
          <cell r="P489">
            <v>44429.98</v>
          </cell>
          <cell r="Q489">
            <v>40894.14</v>
          </cell>
          <cell r="R489">
            <v>41263.199999999997</v>
          </cell>
          <cell r="S489">
            <v>54654.9</v>
          </cell>
          <cell r="T489">
            <v>49094.77</v>
          </cell>
          <cell r="U489">
            <v>54414</v>
          </cell>
          <cell r="V489">
            <v>50190.239999999998</v>
          </cell>
          <cell r="W489">
            <v>45531.06</v>
          </cell>
          <cell r="X489">
            <v>51744.18</v>
          </cell>
          <cell r="Y489">
            <v>47139.5</v>
          </cell>
          <cell r="Z489">
            <v>56170.73</v>
          </cell>
          <cell r="AA489">
            <v>57623.93</v>
          </cell>
          <cell r="AB489">
            <v>47334.64</v>
          </cell>
          <cell r="AC489">
            <v>50242.33</v>
          </cell>
          <cell r="AD489">
            <v>51029.79</v>
          </cell>
          <cell r="AE489">
            <v>49359.61</v>
          </cell>
          <cell r="AF489">
            <v>62681.71</v>
          </cell>
          <cell r="AG489">
            <v>47787.85</v>
          </cell>
          <cell r="AH489">
            <v>52699.12</v>
          </cell>
          <cell r="AI489">
            <v>52717.83</v>
          </cell>
          <cell r="AJ489">
            <v>44925.37</v>
          </cell>
          <cell r="AK489">
            <v>46174.66</v>
          </cell>
          <cell r="AL489">
            <v>47695.83</v>
          </cell>
          <cell r="AM489">
            <v>46928.26</v>
          </cell>
          <cell r="AN489">
            <v>51115.27</v>
          </cell>
          <cell r="AO489">
            <v>32768.239999999998</v>
          </cell>
          <cell r="AP489">
            <v>45441.4</v>
          </cell>
          <cell r="AQ489">
            <v>45302.69</v>
          </cell>
          <cell r="AR489">
            <v>41794.720000000001</v>
          </cell>
          <cell r="AS489">
            <v>42112.67</v>
          </cell>
          <cell r="AT489">
            <v>42332.6</v>
          </cell>
          <cell r="AU489">
            <v>44070.35</v>
          </cell>
          <cell r="AV489">
            <v>37802.74</v>
          </cell>
          <cell r="AW489">
            <v>40100.980000000003</v>
          </cell>
          <cell r="AX489">
            <v>38014.61</v>
          </cell>
          <cell r="AY489">
            <v>43148.66</v>
          </cell>
          <cell r="AZ489">
            <v>43232.71</v>
          </cell>
          <cell r="BA489">
            <v>47890.91</v>
          </cell>
          <cell r="BB489">
            <v>43875.49</v>
          </cell>
          <cell r="BC489">
            <v>40819.71</v>
          </cell>
          <cell r="BD489">
            <v>47160.76</v>
          </cell>
          <cell r="BE489">
            <v>46634.22</v>
          </cell>
          <cell r="BF489">
            <v>43707.040000000001</v>
          </cell>
          <cell r="BG489">
            <v>46331.33</v>
          </cell>
          <cell r="BH489">
            <v>40317.230000000003</v>
          </cell>
          <cell r="BI489">
            <v>44121.34</v>
          </cell>
          <cell r="BJ489">
            <v>40578.379999999997</v>
          </cell>
          <cell r="BK489">
            <v>46663.18</v>
          </cell>
          <cell r="BL489">
            <v>44595.57</v>
          </cell>
          <cell r="BM489">
            <v>39885.89</v>
          </cell>
          <cell r="BN489">
            <v>43656.29</v>
          </cell>
          <cell r="BO489">
            <v>41987.75</v>
          </cell>
          <cell r="BP489">
            <v>57597.65</v>
          </cell>
          <cell r="BQ489">
            <v>52900.42</v>
          </cell>
          <cell r="BR489">
            <v>62016.37</v>
          </cell>
          <cell r="BS489">
            <v>71584.649999999994</v>
          </cell>
          <cell r="BT489">
            <v>46401.22</v>
          </cell>
          <cell r="BU489">
            <v>47405.33</v>
          </cell>
          <cell r="BV489">
            <v>55799.79</v>
          </cell>
          <cell r="BW489">
            <v>84109.04</v>
          </cell>
          <cell r="BX489">
            <v>46133.62</v>
          </cell>
          <cell r="BY489">
            <v>45198.44</v>
          </cell>
          <cell r="BZ489">
            <v>57049.34</v>
          </cell>
          <cell r="CA489">
            <v>49390.58</v>
          </cell>
          <cell r="CB489">
            <v>53706.879999999997</v>
          </cell>
          <cell r="CC489">
            <v>41152.85</v>
          </cell>
          <cell r="CD489">
            <v>58239.43</v>
          </cell>
          <cell r="CE489">
            <v>73910.16</v>
          </cell>
          <cell r="CF489">
            <v>46713.62</v>
          </cell>
          <cell r="CG489">
            <v>99877.07</v>
          </cell>
          <cell r="CH489">
            <v>22885.38</v>
          </cell>
          <cell r="CI489">
            <v>57903.42</v>
          </cell>
          <cell r="CJ489">
            <v>42206.25</v>
          </cell>
          <cell r="CK489">
            <v>53059.65</v>
          </cell>
          <cell r="CL489">
            <v>38659.85</v>
          </cell>
          <cell r="CM489">
            <v>100393.23</v>
          </cell>
          <cell r="CN489">
            <v>79044.91</v>
          </cell>
          <cell r="CO489">
            <v>36808.92</v>
          </cell>
          <cell r="CP489">
            <v>67657.990000000005</v>
          </cell>
          <cell r="CQ489">
            <v>57094.14</v>
          </cell>
          <cell r="CR489">
            <v>57924.6</v>
          </cell>
          <cell r="CS489">
            <v>73590.490000000005</v>
          </cell>
          <cell r="CT489">
            <v>56533.41</v>
          </cell>
          <cell r="CU489">
            <v>104370.29</v>
          </cell>
          <cell r="CV489">
            <v>59928.14</v>
          </cell>
          <cell r="CW489">
            <v>54837.41</v>
          </cell>
          <cell r="CX489">
            <v>65924.460000000006</v>
          </cell>
          <cell r="CY489">
            <v>90779.01</v>
          </cell>
          <cell r="CZ489">
            <v>68972.009999999995</v>
          </cell>
          <cell r="DA489">
            <v>68091.960000000006</v>
          </cell>
          <cell r="DB489">
            <v>67788</v>
          </cell>
          <cell r="DC489">
            <v>92518.07</v>
          </cell>
          <cell r="DD489">
            <v>68472.3</v>
          </cell>
          <cell r="DE489">
            <v>48385.26</v>
          </cell>
          <cell r="DF489">
            <v>80957.509999999995</v>
          </cell>
          <cell r="DG489">
            <v>57440.51</v>
          </cell>
          <cell r="DH489">
            <v>824094.64000000013</v>
          </cell>
        </row>
        <row r="490">
          <cell r="A490" t="str">
            <v>8910</v>
          </cell>
          <cell r="D490">
            <v>52720.9</v>
          </cell>
          <cell r="E490">
            <v>79550.399999999994</v>
          </cell>
          <cell r="F490">
            <v>62593.78</v>
          </cell>
          <cell r="G490">
            <v>76229.350000000006</v>
          </cell>
          <cell r="H490">
            <v>93067.6</v>
          </cell>
          <cell r="I490">
            <v>107431.63</v>
          </cell>
          <cell r="J490">
            <v>63843.86</v>
          </cell>
          <cell r="K490">
            <v>54876</v>
          </cell>
          <cell r="L490">
            <v>81207.61</v>
          </cell>
          <cell r="M490">
            <v>82979.62</v>
          </cell>
          <cell r="N490">
            <v>62300.800000000003</v>
          </cell>
          <cell r="O490">
            <v>67127.14</v>
          </cell>
          <cell r="P490">
            <v>64151.69</v>
          </cell>
          <cell r="Q490">
            <v>62848.7</v>
          </cell>
          <cell r="R490">
            <v>78567.83</v>
          </cell>
          <cell r="S490">
            <v>120906.44</v>
          </cell>
          <cell r="T490">
            <v>99490.39</v>
          </cell>
          <cell r="U490">
            <v>142763.53</v>
          </cell>
          <cell r="V490">
            <v>134187.46</v>
          </cell>
          <cell r="W490">
            <v>93824.24</v>
          </cell>
          <cell r="X490">
            <v>149016.20000000001</v>
          </cell>
          <cell r="Y490">
            <v>134366.70000000001</v>
          </cell>
          <cell r="Z490">
            <v>159786.22</v>
          </cell>
          <cell r="AA490">
            <v>248783.31</v>
          </cell>
          <cell r="AB490">
            <v>101467.34</v>
          </cell>
          <cell r="AC490">
            <v>142953.32</v>
          </cell>
          <cell r="AD490">
            <v>117053.83</v>
          </cell>
          <cell r="AE490">
            <v>92878.3</v>
          </cell>
          <cell r="AF490">
            <v>144596.07</v>
          </cell>
          <cell r="AG490">
            <v>149658.69</v>
          </cell>
          <cell r="AH490">
            <v>100488.1</v>
          </cell>
          <cell r="AI490">
            <v>154056.69</v>
          </cell>
          <cell r="AJ490">
            <v>111583.21</v>
          </cell>
          <cell r="AK490">
            <v>111892.62</v>
          </cell>
          <cell r="AL490">
            <v>146210.95000000001</v>
          </cell>
          <cell r="AM490">
            <v>212674.73</v>
          </cell>
          <cell r="AN490">
            <v>61047.29</v>
          </cell>
          <cell r="AO490">
            <v>155624.95000000001</v>
          </cell>
          <cell r="AP490">
            <v>169610.78</v>
          </cell>
          <cell r="AQ490">
            <v>68114.039999999994</v>
          </cell>
          <cell r="AR490">
            <v>100320.63</v>
          </cell>
          <cell r="AS490">
            <v>378692.99</v>
          </cell>
          <cell r="AT490">
            <v>-122199.35</v>
          </cell>
          <cell r="AU490">
            <v>120879.88</v>
          </cell>
          <cell r="AV490">
            <v>101028.57</v>
          </cell>
          <cell r="AW490">
            <v>115436.05</v>
          </cell>
          <cell r="AX490">
            <v>111077.86</v>
          </cell>
          <cell r="AY490">
            <v>127751.55</v>
          </cell>
          <cell r="AZ490">
            <v>97759.039999999994</v>
          </cell>
          <cell r="BA490">
            <v>100491.07</v>
          </cell>
          <cell r="BB490">
            <v>134554.99</v>
          </cell>
          <cell r="BC490">
            <v>181467.15</v>
          </cell>
          <cell r="BD490">
            <v>188163.15</v>
          </cell>
          <cell r="BE490">
            <v>152079.07999999999</v>
          </cell>
          <cell r="BF490">
            <v>166794.01999999999</v>
          </cell>
          <cell r="BG490">
            <v>7357.84</v>
          </cell>
          <cell r="BH490">
            <v>105825.79</v>
          </cell>
          <cell r="BI490">
            <v>95626.559999999998</v>
          </cell>
          <cell r="BJ490">
            <v>84010.81</v>
          </cell>
          <cell r="BK490">
            <v>99186.21</v>
          </cell>
          <cell r="BL490">
            <v>97798.27</v>
          </cell>
          <cell r="BM490">
            <v>96518.61</v>
          </cell>
          <cell r="BN490">
            <v>135375.22</v>
          </cell>
          <cell r="BO490">
            <v>120103.63</v>
          </cell>
          <cell r="BP490">
            <v>131408.76999999999</v>
          </cell>
          <cell r="BQ490">
            <v>146820.62</v>
          </cell>
          <cell r="BR490">
            <v>133840.75</v>
          </cell>
          <cell r="BS490">
            <v>153032.89000000001</v>
          </cell>
          <cell r="BT490">
            <v>182845.08</v>
          </cell>
          <cell r="BU490">
            <v>158350.85999999999</v>
          </cell>
          <cell r="BV490">
            <v>98433.1</v>
          </cell>
          <cell r="BW490">
            <v>226950.85</v>
          </cell>
          <cell r="BX490">
            <v>141829.95000000001</v>
          </cell>
          <cell r="BY490">
            <v>106522.45</v>
          </cell>
          <cell r="BZ490">
            <v>167256.06</v>
          </cell>
          <cell r="CA490">
            <v>126436.33</v>
          </cell>
          <cell r="CB490">
            <v>131276</v>
          </cell>
          <cell r="CC490">
            <v>142235.04</v>
          </cell>
          <cell r="CD490">
            <v>129342.81</v>
          </cell>
          <cell r="CE490">
            <v>203551</v>
          </cell>
          <cell r="CF490">
            <v>96448.48</v>
          </cell>
          <cell r="CG490">
            <v>153092.37</v>
          </cell>
          <cell r="CH490">
            <v>106483.58</v>
          </cell>
          <cell r="CI490">
            <v>123342.18</v>
          </cell>
          <cell r="CJ490">
            <v>101500.18</v>
          </cell>
          <cell r="CK490">
            <v>118743.99</v>
          </cell>
          <cell r="CL490">
            <v>111743.32</v>
          </cell>
          <cell r="CM490">
            <v>117971</v>
          </cell>
          <cell r="CN490">
            <v>143725.85999999999</v>
          </cell>
          <cell r="CO490">
            <v>188851.66</v>
          </cell>
          <cell r="CP490">
            <v>150783.67999999999</v>
          </cell>
          <cell r="CQ490">
            <v>121963.69</v>
          </cell>
          <cell r="CR490">
            <v>114394.44</v>
          </cell>
          <cell r="CS490">
            <v>121356.86</v>
          </cell>
          <cell r="CT490">
            <v>211928.54</v>
          </cell>
          <cell r="CU490">
            <v>191877.28</v>
          </cell>
          <cell r="CV490">
            <v>134940.84</v>
          </cell>
          <cell r="CW490">
            <v>125534.41</v>
          </cell>
          <cell r="CX490">
            <v>155331.99</v>
          </cell>
          <cell r="CY490">
            <v>153187.4</v>
          </cell>
          <cell r="CZ490">
            <v>184635.94</v>
          </cell>
          <cell r="DA490">
            <v>180419.97</v>
          </cell>
          <cell r="DB490">
            <v>178668.34</v>
          </cell>
          <cell r="DC490">
            <v>218749.17</v>
          </cell>
          <cell r="DD490">
            <v>188932.91</v>
          </cell>
          <cell r="DE490">
            <v>127189.2</v>
          </cell>
          <cell r="DF490">
            <v>177212.14</v>
          </cell>
          <cell r="DG490">
            <v>153436.54</v>
          </cell>
          <cell r="DH490">
            <v>1978238.85</v>
          </cell>
        </row>
        <row r="491">
          <cell r="A491" t="str">
            <v>8920</v>
          </cell>
          <cell r="D491">
            <v>167251.04999999999</v>
          </cell>
          <cell r="E491">
            <v>100491.68</v>
          </cell>
          <cell r="F491">
            <v>117509.24</v>
          </cell>
          <cell r="G491">
            <v>153657.64000000001</v>
          </cell>
          <cell r="H491">
            <v>114584.85</v>
          </cell>
          <cell r="I491">
            <v>112431.31</v>
          </cell>
          <cell r="J491">
            <v>109846.6</v>
          </cell>
          <cell r="K491">
            <v>139798.91</v>
          </cell>
          <cell r="L491">
            <v>114361.46</v>
          </cell>
          <cell r="M491">
            <v>109653.99</v>
          </cell>
          <cell r="N491">
            <v>108430.6</v>
          </cell>
          <cell r="O491">
            <v>154484.67000000001</v>
          </cell>
          <cell r="P491">
            <v>139524.32999999999</v>
          </cell>
          <cell r="Q491">
            <v>143120.37</v>
          </cell>
          <cell r="R491">
            <v>119919.27</v>
          </cell>
          <cell r="S491">
            <v>133532.35999999999</v>
          </cell>
          <cell r="T491">
            <v>138651.45000000001</v>
          </cell>
          <cell r="U491">
            <v>121842.18</v>
          </cell>
          <cell r="V491">
            <v>137329.26999999999</v>
          </cell>
          <cell r="W491">
            <v>146596.87</v>
          </cell>
          <cell r="X491">
            <v>158019.04999999999</v>
          </cell>
          <cell r="Y491">
            <v>159455.1</v>
          </cell>
          <cell r="Z491">
            <v>163884.13</v>
          </cell>
          <cell r="AA491">
            <v>178772.72</v>
          </cell>
          <cell r="AB491">
            <v>160993.31</v>
          </cell>
          <cell r="AC491">
            <v>162435.14000000001</v>
          </cell>
          <cell r="AD491">
            <v>130655.36</v>
          </cell>
          <cell r="AE491">
            <v>107409.73</v>
          </cell>
          <cell r="AF491">
            <v>132218.59</v>
          </cell>
          <cell r="AG491">
            <v>152418.60999999999</v>
          </cell>
          <cell r="AH491">
            <v>120611.71</v>
          </cell>
          <cell r="AI491">
            <v>134621.46</v>
          </cell>
          <cell r="AJ491">
            <v>125499.72</v>
          </cell>
          <cell r="AK491">
            <v>139772.34</v>
          </cell>
          <cell r="AL491">
            <v>151272.23000000001</v>
          </cell>
          <cell r="AM491">
            <v>172030.92</v>
          </cell>
          <cell r="AN491">
            <v>163986.76</v>
          </cell>
          <cell r="AO491">
            <v>149034.35</v>
          </cell>
          <cell r="AP491">
            <v>145597.68</v>
          </cell>
          <cell r="AQ491">
            <v>123975.96</v>
          </cell>
          <cell r="AR491">
            <v>125010.05</v>
          </cell>
          <cell r="AS491">
            <v>159211.18</v>
          </cell>
          <cell r="AT491">
            <v>134724.25</v>
          </cell>
          <cell r="AU491">
            <v>148102.81</v>
          </cell>
          <cell r="AV491">
            <v>134141.64000000001</v>
          </cell>
          <cell r="AW491">
            <v>158480.76999999999</v>
          </cell>
          <cell r="AX491">
            <v>146220.62</v>
          </cell>
          <cell r="AY491">
            <v>146281.46</v>
          </cell>
          <cell r="AZ491">
            <v>156515.98000000001</v>
          </cell>
          <cell r="BA491">
            <v>150454.25</v>
          </cell>
          <cell r="BB491">
            <v>148387.03</v>
          </cell>
          <cell r="BC491">
            <v>148605.99</v>
          </cell>
          <cell r="BD491">
            <v>181898.84</v>
          </cell>
          <cell r="BE491">
            <v>129804.19</v>
          </cell>
          <cell r="BF491">
            <v>160882.63</v>
          </cell>
          <cell r="BG491">
            <v>148004.38</v>
          </cell>
          <cell r="BH491">
            <v>106826.79</v>
          </cell>
          <cell r="BI491">
            <v>124895.55</v>
          </cell>
          <cell r="BJ491">
            <v>112403.84</v>
          </cell>
          <cell r="BK491">
            <v>175386.2</v>
          </cell>
          <cell r="BL491">
            <v>120671.99</v>
          </cell>
          <cell r="BM491">
            <v>121738.01</v>
          </cell>
          <cell r="BN491">
            <v>144446.81</v>
          </cell>
          <cell r="BO491">
            <v>126093.92</v>
          </cell>
          <cell r="BP491">
            <v>122792.59</v>
          </cell>
          <cell r="BQ491">
            <v>102849.22</v>
          </cell>
          <cell r="BR491">
            <v>136812.26</v>
          </cell>
          <cell r="BS491">
            <v>131698.47</v>
          </cell>
          <cell r="BT491">
            <v>126224.21</v>
          </cell>
          <cell r="BU491">
            <v>192821.93</v>
          </cell>
          <cell r="BV491">
            <v>135639.44</v>
          </cell>
          <cell r="BW491">
            <v>157023.37</v>
          </cell>
          <cell r="BX491">
            <v>140359.15</v>
          </cell>
          <cell r="BY491">
            <v>123502.17</v>
          </cell>
          <cell r="BZ491">
            <v>135557.1</v>
          </cell>
          <cell r="CA491">
            <v>115053.88</v>
          </cell>
          <cell r="CB491">
            <v>108532.66</v>
          </cell>
          <cell r="CC491">
            <v>121965.17</v>
          </cell>
          <cell r="CD491">
            <v>103233.79</v>
          </cell>
          <cell r="CE491">
            <v>126015.31</v>
          </cell>
          <cell r="CF491">
            <v>105367.87</v>
          </cell>
          <cell r="CG491">
            <v>107693.68</v>
          </cell>
          <cell r="CH491">
            <v>109589.4</v>
          </cell>
          <cell r="CI491">
            <v>168151.69</v>
          </cell>
          <cell r="CJ491">
            <v>86886.74</v>
          </cell>
          <cell r="CK491">
            <v>100147.53</v>
          </cell>
          <cell r="CL491">
            <v>102946.6</v>
          </cell>
          <cell r="CM491">
            <v>98212</v>
          </cell>
          <cell r="CN491">
            <v>99466.59</v>
          </cell>
          <cell r="CO491">
            <v>100915.05</v>
          </cell>
          <cell r="CP491">
            <v>104082.89</v>
          </cell>
          <cell r="CQ491">
            <v>132507.51</v>
          </cell>
          <cell r="CR491">
            <v>121938.49</v>
          </cell>
          <cell r="CS491">
            <v>85895.43</v>
          </cell>
          <cell r="CT491">
            <v>110243.98</v>
          </cell>
          <cell r="CU491">
            <v>128476.63</v>
          </cell>
          <cell r="CV491">
            <v>117571.05</v>
          </cell>
          <cell r="CW491">
            <v>83519.98</v>
          </cell>
          <cell r="CX491">
            <v>95316.11</v>
          </cell>
          <cell r="CY491">
            <v>143411.09</v>
          </cell>
          <cell r="CZ491">
            <v>85443.68</v>
          </cell>
          <cell r="DA491">
            <v>112424.32000000001</v>
          </cell>
          <cell r="DB491">
            <v>108470.91</v>
          </cell>
          <cell r="DC491">
            <v>130427.9</v>
          </cell>
          <cell r="DD491">
            <v>122251.09</v>
          </cell>
          <cell r="DE491">
            <v>77686.179999999993</v>
          </cell>
          <cell r="DF491">
            <v>151058.42000000001</v>
          </cell>
          <cell r="DG491">
            <v>245636.77</v>
          </cell>
          <cell r="DH491">
            <v>1473217.5</v>
          </cell>
        </row>
        <row r="492">
          <cell r="A492" t="str">
            <v>8930</v>
          </cell>
          <cell r="D492">
            <v>48908.87</v>
          </cell>
          <cell r="E492">
            <v>43986.65</v>
          </cell>
          <cell r="F492">
            <v>51000.5</v>
          </cell>
          <cell r="G492">
            <v>50793.2</v>
          </cell>
          <cell r="H492">
            <v>43759.17</v>
          </cell>
          <cell r="I492">
            <v>61855.32</v>
          </cell>
          <cell r="J492">
            <v>68678.990000000005</v>
          </cell>
          <cell r="K492">
            <v>53764.1</v>
          </cell>
          <cell r="L492">
            <v>103759.5</v>
          </cell>
          <cell r="M492">
            <v>30376.54</v>
          </cell>
          <cell r="N492">
            <v>79809.320000000007</v>
          </cell>
          <cell r="O492">
            <v>52173.62</v>
          </cell>
          <cell r="P492">
            <v>45504.4</v>
          </cell>
          <cell r="Q492">
            <v>49096.14</v>
          </cell>
          <cell r="R492">
            <v>38881.81</v>
          </cell>
          <cell r="S492">
            <v>44466.52</v>
          </cell>
          <cell r="T492">
            <v>60733.47</v>
          </cell>
          <cell r="U492">
            <v>60677.78</v>
          </cell>
          <cell r="V492">
            <v>44847.3</v>
          </cell>
          <cell r="W492">
            <v>51636.92</v>
          </cell>
          <cell r="X492">
            <v>37161.14</v>
          </cell>
          <cell r="Y492">
            <v>51562.59</v>
          </cell>
          <cell r="Z492">
            <v>60687.73</v>
          </cell>
          <cell r="AA492">
            <v>42319.19</v>
          </cell>
          <cell r="AB492">
            <v>35048.19</v>
          </cell>
          <cell r="AC492">
            <v>44446.16</v>
          </cell>
          <cell r="AD492">
            <v>53023.59</v>
          </cell>
          <cell r="AE492">
            <v>48799.78</v>
          </cell>
          <cell r="AF492">
            <v>42849.73</v>
          </cell>
          <cell r="AG492">
            <v>73341.7</v>
          </cell>
          <cell r="AH492">
            <v>34872.33</v>
          </cell>
          <cell r="AI492">
            <v>58028.4</v>
          </cell>
          <cell r="AJ492">
            <v>34821.08</v>
          </cell>
          <cell r="AK492">
            <v>89320.67</v>
          </cell>
          <cell r="AL492">
            <v>88712.38</v>
          </cell>
          <cell r="AM492">
            <v>76649.31</v>
          </cell>
          <cell r="AN492">
            <v>31529.58</v>
          </cell>
          <cell r="AO492">
            <v>81490.83</v>
          </cell>
          <cell r="AP492">
            <v>61276.61</v>
          </cell>
          <cell r="AQ492">
            <v>44186.04</v>
          </cell>
          <cell r="AR492">
            <v>44455.1</v>
          </cell>
          <cell r="AS492">
            <v>32733.360000000001</v>
          </cell>
          <cell r="AT492">
            <v>47802.53</v>
          </cell>
          <cell r="AU492">
            <v>54267.46</v>
          </cell>
          <cell r="AV492">
            <v>59469.04</v>
          </cell>
          <cell r="AW492">
            <v>74523.19</v>
          </cell>
          <cell r="AX492">
            <v>12005.55</v>
          </cell>
          <cell r="AY492">
            <v>98883.22</v>
          </cell>
          <cell r="AZ492">
            <v>42354.25</v>
          </cell>
          <cell r="BA492">
            <v>75046.81</v>
          </cell>
          <cell r="BB492">
            <v>32210.42</v>
          </cell>
          <cell r="BC492">
            <v>68795.94</v>
          </cell>
          <cell r="BD492">
            <v>79524.86</v>
          </cell>
          <cell r="BE492">
            <v>58415.25</v>
          </cell>
          <cell r="BF492">
            <v>83300.850000000006</v>
          </cell>
          <cell r="BG492">
            <v>68642.92</v>
          </cell>
          <cell r="BH492">
            <v>37128.58</v>
          </cell>
          <cell r="BI492">
            <v>62375.77</v>
          </cell>
          <cell r="BJ492">
            <v>49843.02</v>
          </cell>
          <cell r="BK492">
            <v>54892.74</v>
          </cell>
          <cell r="BL492">
            <v>53555.74</v>
          </cell>
          <cell r="BM492">
            <v>38129.519999999997</v>
          </cell>
          <cell r="BN492">
            <v>65235.06</v>
          </cell>
          <cell r="BO492">
            <v>69599.87</v>
          </cell>
          <cell r="BP492">
            <v>51991.64</v>
          </cell>
          <cell r="BQ492">
            <v>34720.61</v>
          </cell>
          <cell r="BR492">
            <v>81874.25</v>
          </cell>
          <cell r="BS492">
            <v>46697.13</v>
          </cell>
          <cell r="BT492">
            <v>59783.03</v>
          </cell>
          <cell r="BU492">
            <v>54807.48</v>
          </cell>
          <cell r="BV492">
            <v>73542.600000000006</v>
          </cell>
          <cell r="BW492">
            <v>73247.92</v>
          </cell>
          <cell r="BX492">
            <v>58212.59</v>
          </cell>
          <cell r="BY492">
            <v>113692.14</v>
          </cell>
          <cell r="BZ492">
            <v>79085.210000000006</v>
          </cell>
          <cell r="CA492">
            <v>42674.36</v>
          </cell>
          <cell r="CB492">
            <v>57430.7</v>
          </cell>
          <cell r="CC492">
            <v>56797.34</v>
          </cell>
          <cell r="CD492">
            <v>54630.3</v>
          </cell>
          <cell r="CE492">
            <v>54817.01</v>
          </cell>
          <cell r="CF492">
            <v>49886.32</v>
          </cell>
          <cell r="CG492">
            <v>75633.119999999995</v>
          </cell>
          <cell r="CH492">
            <v>72423.28</v>
          </cell>
          <cell r="CI492">
            <v>50426.93</v>
          </cell>
          <cell r="CJ492">
            <v>52156.29</v>
          </cell>
          <cell r="CK492">
            <v>78249.41</v>
          </cell>
          <cell r="CL492">
            <v>65300.33</v>
          </cell>
          <cell r="CM492">
            <v>48723.83</v>
          </cell>
          <cell r="CN492">
            <v>91996.55</v>
          </cell>
          <cell r="CO492">
            <v>46182.85</v>
          </cell>
          <cell r="CP492">
            <v>101578.48</v>
          </cell>
          <cell r="CQ492">
            <v>51537.97</v>
          </cell>
          <cell r="CR492">
            <v>41084.699999999997</v>
          </cell>
          <cell r="CS492">
            <v>63581</v>
          </cell>
          <cell r="CT492">
            <v>72924.02</v>
          </cell>
          <cell r="CU492">
            <v>77918.98</v>
          </cell>
          <cell r="CV492">
            <v>54815.11</v>
          </cell>
          <cell r="CW492">
            <v>60423.199999999997</v>
          </cell>
          <cell r="CX492">
            <v>54470.99</v>
          </cell>
          <cell r="CY492">
            <v>67526.570000000007</v>
          </cell>
          <cell r="CZ492">
            <v>79595.66</v>
          </cell>
          <cell r="DA492">
            <v>58963.12</v>
          </cell>
          <cell r="DB492">
            <v>58654.879999999997</v>
          </cell>
          <cell r="DC492">
            <v>96428.6</v>
          </cell>
          <cell r="DD492">
            <v>44956.29</v>
          </cell>
          <cell r="DE492">
            <v>141773.28</v>
          </cell>
          <cell r="DF492">
            <v>155681.03</v>
          </cell>
          <cell r="DG492">
            <v>159423.54</v>
          </cell>
          <cell r="DH492">
            <v>1032712.2700000001</v>
          </cell>
        </row>
        <row r="493">
          <cell r="A493" t="str">
            <v>8940</v>
          </cell>
          <cell r="D493">
            <v>15615.66</v>
          </cell>
          <cell r="E493">
            <v>4339.78</v>
          </cell>
          <cell r="F493">
            <v>2740.8</v>
          </cell>
          <cell r="G493">
            <v>610.55999999999995</v>
          </cell>
          <cell r="H493">
            <v>40287.629999999997</v>
          </cell>
          <cell r="I493">
            <v>13161.05</v>
          </cell>
          <cell r="J493">
            <v>29066.45</v>
          </cell>
          <cell r="K493">
            <v>-23618.85</v>
          </cell>
          <cell r="L493">
            <v>29332.37</v>
          </cell>
          <cell r="M493">
            <v>6759.42</v>
          </cell>
          <cell r="N493">
            <v>-13568.16</v>
          </cell>
          <cell r="O493">
            <v>8402.57</v>
          </cell>
          <cell r="P493">
            <v>7713.13</v>
          </cell>
          <cell r="Q493">
            <v>6838.86</v>
          </cell>
          <cell r="R493">
            <v>31346.080000000002</v>
          </cell>
          <cell r="S493">
            <v>6856.97</v>
          </cell>
          <cell r="T493">
            <v>6595.38</v>
          </cell>
          <cell r="U493">
            <v>6645.16</v>
          </cell>
          <cell r="V493">
            <v>4103.28</v>
          </cell>
          <cell r="W493">
            <v>6276.53</v>
          </cell>
          <cell r="X493">
            <v>5812.57</v>
          </cell>
          <cell r="Y493">
            <v>6167.13</v>
          </cell>
          <cell r="Z493">
            <v>3929.4</v>
          </cell>
          <cell r="AA493">
            <v>8444.23</v>
          </cell>
          <cell r="AB493">
            <v>2291.13</v>
          </cell>
          <cell r="AC493">
            <v>15837.82</v>
          </cell>
          <cell r="AD493">
            <v>8214.32</v>
          </cell>
          <cell r="AE493">
            <v>2495.11</v>
          </cell>
          <cell r="AF493">
            <v>-6527.7</v>
          </cell>
          <cell r="AG493">
            <v>1912.44</v>
          </cell>
          <cell r="AH493">
            <v>6022.04</v>
          </cell>
          <cell r="AI493">
            <v>30539.599999999999</v>
          </cell>
          <cell r="AJ493">
            <v>-23829.23</v>
          </cell>
          <cell r="AK493">
            <v>3188.58</v>
          </cell>
          <cell r="AL493">
            <v>6954.14</v>
          </cell>
          <cell r="AM493">
            <v>8278.7900000000009</v>
          </cell>
          <cell r="AN493">
            <v>4199.6899999999996</v>
          </cell>
          <cell r="AO493">
            <v>16231.03</v>
          </cell>
          <cell r="AP493">
            <v>8344.85</v>
          </cell>
          <cell r="AQ493">
            <v>3382.96</v>
          </cell>
          <cell r="AR493">
            <v>6377.11</v>
          </cell>
          <cell r="AS493">
            <v>8186.95</v>
          </cell>
          <cell r="AT493">
            <v>4885.72</v>
          </cell>
          <cell r="AU493">
            <v>8474.59</v>
          </cell>
          <cell r="AV493">
            <v>9893.58</v>
          </cell>
          <cell r="AW493">
            <v>5896.63</v>
          </cell>
          <cell r="AX493">
            <v>10950.38</v>
          </cell>
          <cell r="AY493">
            <v>4204.6499999999996</v>
          </cell>
          <cell r="AZ493">
            <v>1942.41</v>
          </cell>
          <cell r="BA493">
            <v>10470.35</v>
          </cell>
          <cell r="BB493">
            <v>7918.67</v>
          </cell>
          <cell r="BC493">
            <v>7075.78</v>
          </cell>
          <cell r="BD493">
            <v>10184.43</v>
          </cell>
          <cell r="BE493">
            <v>10872.81</v>
          </cell>
          <cell r="BF493">
            <v>5697.96</v>
          </cell>
          <cell r="BG493">
            <v>6314.39</v>
          </cell>
          <cell r="BH493">
            <v>2900.88</v>
          </cell>
          <cell r="BI493">
            <v>3215.47</v>
          </cell>
          <cell r="BJ493">
            <v>3047.18</v>
          </cell>
          <cell r="BK493">
            <v>7187.66</v>
          </cell>
          <cell r="BL493">
            <v>3219.2</v>
          </cell>
          <cell r="BM493">
            <v>2944.59</v>
          </cell>
          <cell r="BN493">
            <v>7907.42</v>
          </cell>
          <cell r="BO493">
            <v>10604.12</v>
          </cell>
          <cell r="BP493">
            <v>3555.37</v>
          </cell>
          <cell r="BQ493">
            <v>11523.88</v>
          </cell>
          <cell r="BR493">
            <v>-3438.29</v>
          </cell>
          <cell r="BS493">
            <v>9333.33</v>
          </cell>
          <cell r="BT493">
            <v>3167.97</v>
          </cell>
          <cell r="BU493">
            <v>2584.6999999999998</v>
          </cell>
          <cell r="BV493">
            <v>4495.13</v>
          </cell>
          <cell r="BW493">
            <v>19856.349999999999</v>
          </cell>
          <cell r="BX493">
            <v>10660.42</v>
          </cell>
          <cell r="BY493">
            <v>-3780.94</v>
          </cell>
          <cell r="BZ493">
            <v>5650.74</v>
          </cell>
          <cell r="CA493">
            <v>4960.62</v>
          </cell>
          <cell r="CB493">
            <v>2376.64</v>
          </cell>
          <cell r="CC493">
            <v>2260.4</v>
          </cell>
          <cell r="CD493">
            <v>2800.68</v>
          </cell>
          <cell r="CE493">
            <v>1499.05</v>
          </cell>
          <cell r="CF493">
            <v>762.1</v>
          </cell>
          <cell r="CG493">
            <v>7709.32</v>
          </cell>
          <cell r="CH493">
            <v>11592.63</v>
          </cell>
          <cell r="CI493">
            <v>2739.37</v>
          </cell>
          <cell r="CJ493">
            <v>7994.63</v>
          </cell>
          <cell r="CK493">
            <v>10335.85</v>
          </cell>
          <cell r="CL493">
            <v>8225.98</v>
          </cell>
          <cell r="CM493">
            <v>21592.63</v>
          </cell>
          <cell r="CN493">
            <v>-5847.4</v>
          </cell>
          <cell r="CO493">
            <v>4174.8599999999997</v>
          </cell>
          <cell r="CP493">
            <v>5127.4399999999996</v>
          </cell>
          <cell r="CQ493">
            <v>1144.6099999999999</v>
          </cell>
          <cell r="CR493">
            <v>3633.37</v>
          </cell>
          <cell r="CS493">
            <v>3718.68</v>
          </cell>
          <cell r="CT493">
            <v>2406.3000000000002</v>
          </cell>
          <cell r="CU493">
            <v>11981.19</v>
          </cell>
          <cell r="CV493">
            <v>11253.77</v>
          </cell>
          <cell r="CW493">
            <v>2654.36</v>
          </cell>
          <cell r="CX493">
            <v>745.44</v>
          </cell>
          <cell r="CY493">
            <v>10964.87</v>
          </cell>
          <cell r="CZ493">
            <v>8569.8700000000008</v>
          </cell>
          <cell r="DA493">
            <v>2495.61</v>
          </cell>
          <cell r="DB493">
            <v>9047.19</v>
          </cell>
          <cell r="DC493">
            <v>12656.51</v>
          </cell>
          <cell r="DD493">
            <v>6282.65</v>
          </cell>
          <cell r="DE493">
            <v>4975.0200000000004</v>
          </cell>
          <cell r="DF493">
            <v>11418.3</v>
          </cell>
          <cell r="DG493">
            <v>14657.45</v>
          </cell>
          <cell r="DH493">
            <v>95721.040000000008</v>
          </cell>
        </row>
        <row r="494">
          <cell r="A494" t="str">
            <v>9020</v>
          </cell>
          <cell r="D494">
            <v>87895.29</v>
          </cell>
          <cell r="E494">
            <v>106317.72</v>
          </cell>
          <cell r="F494">
            <v>113516.07</v>
          </cell>
          <cell r="G494">
            <v>84308.62</v>
          </cell>
          <cell r="H494">
            <v>117838.9</v>
          </cell>
          <cell r="I494">
            <v>93569.919999999998</v>
          </cell>
          <cell r="J494">
            <v>110031.88</v>
          </cell>
          <cell r="K494">
            <v>108083.93</v>
          </cell>
          <cell r="L494">
            <v>107259.18</v>
          </cell>
          <cell r="M494">
            <v>87976.42</v>
          </cell>
          <cell r="N494">
            <v>85814.080000000002</v>
          </cell>
          <cell r="O494">
            <v>101337.65</v>
          </cell>
          <cell r="P494">
            <v>94610.35</v>
          </cell>
          <cell r="Q494">
            <v>90051.27</v>
          </cell>
          <cell r="R494">
            <v>88766.77</v>
          </cell>
          <cell r="S494">
            <v>77446.960000000006</v>
          </cell>
          <cell r="T494">
            <v>97816.16</v>
          </cell>
          <cell r="U494">
            <v>89504.35</v>
          </cell>
          <cell r="V494">
            <v>106743.38</v>
          </cell>
          <cell r="W494">
            <v>82179.44</v>
          </cell>
          <cell r="X494">
            <v>98336.51</v>
          </cell>
          <cell r="Y494">
            <v>102100.61</v>
          </cell>
          <cell r="Z494">
            <v>86740.86</v>
          </cell>
          <cell r="AA494">
            <v>90980.63</v>
          </cell>
          <cell r="AB494">
            <v>97396.71</v>
          </cell>
          <cell r="AC494">
            <v>92335.34</v>
          </cell>
          <cell r="AD494">
            <v>95834.97</v>
          </cell>
          <cell r="AE494">
            <v>85137.42</v>
          </cell>
          <cell r="AF494">
            <v>76429.11</v>
          </cell>
          <cell r="AG494">
            <v>132820.20000000001</v>
          </cell>
          <cell r="AH494">
            <v>97079.75</v>
          </cell>
          <cell r="AI494">
            <v>110866.58</v>
          </cell>
          <cell r="AJ494">
            <v>105939.25</v>
          </cell>
          <cell r="AK494">
            <v>95987.47</v>
          </cell>
          <cell r="AL494">
            <v>109029.36</v>
          </cell>
          <cell r="AM494">
            <v>109775.35</v>
          </cell>
          <cell r="AN494">
            <v>101119.29</v>
          </cell>
          <cell r="AO494">
            <v>116471.45</v>
          </cell>
          <cell r="AP494">
            <v>118144.85</v>
          </cell>
          <cell r="AQ494">
            <v>92473.51</v>
          </cell>
          <cell r="AR494">
            <v>87638.43</v>
          </cell>
          <cell r="AS494">
            <v>117477.03</v>
          </cell>
          <cell r="AT494">
            <v>100359.83</v>
          </cell>
          <cell r="AU494">
            <v>127148.43</v>
          </cell>
          <cell r="AV494">
            <v>106242.86</v>
          </cell>
          <cell r="AW494">
            <v>108795.57</v>
          </cell>
          <cell r="AX494">
            <v>104994.05</v>
          </cell>
          <cell r="AY494">
            <v>95940.479999999996</v>
          </cell>
          <cell r="AZ494">
            <v>98149.03</v>
          </cell>
          <cell r="BA494">
            <v>98503.32</v>
          </cell>
          <cell r="BB494">
            <v>85238.26</v>
          </cell>
          <cell r="BC494">
            <v>96884.79</v>
          </cell>
          <cell r="BD494">
            <v>92122.76</v>
          </cell>
          <cell r="BE494">
            <v>69201.58</v>
          </cell>
          <cell r="BF494">
            <v>73210.95</v>
          </cell>
          <cell r="BG494">
            <v>121077.79</v>
          </cell>
          <cell r="BH494">
            <v>98809.38</v>
          </cell>
          <cell r="BI494">
            <v>90501.34</v>
          </cell>
          <cell r="BJ494">
            <v>83916.78</v>
          </cell>
          <cell r="BK494">
            <v>90102.71</v>
          </cell>
          <cell r="BL494">
            <v>81901.570000000007</v>
          </cell>
          <cell r="BM494">
            <v>93429.74</v>
          </cell>
          <cell r="BN494">
            <v>83864.850000000006</v>
          </cell>
          <cell r="BO494">
            <v>97481.63</v>
          </cell>
          <cell r="BP494">
            <v>85505.22</v>
          </cell>
          <cell r="BQ494">
            <v>103177.16</v>
          </cell>
          <cell r="BR494">
            <v>86471.87</v>
          </cell>
          <cell r="BS494">
            <v>92417.87</v>
          </cell>
          <cell r="BT494">
            <v>115851.95</v>
          </cell>
          <cell r="BU494">
            <v>118771.36</v>
          </cell>
          <cell r="BV494">
            <v>99036.06</v>
          </cell>
          <cell r="BW494">
            <v>135458.60999999999</v>
          </cell>
          <cell r="BX494">
            <v>132367.16</v>
          </cell>
          <cell r="BY494">
            <v>120012.5</v>
          </cell>
          <cell r="BZ494">
            <v>101124.44</v>
          </cell>
          <cell r="CA494">
            <v>132248.82</v>
          </cell>
          <cell r="CB494">
            <v>23187.7</v>
          </cell>
          <cell r="CC494">
            <v>116151.47</v>
          </cell>
          <cell r="CD494">
            <v>137012.43</v>
          </cell>
          <cell r="CE494">
            <v>90913.61</v>
          </cell>
          <cell r="CF494">
            <v>123981.43</v>
          </cell>
          <cell r="CG494">
            <v>131807.85999999999</v>
          </cell>
          <cell r="CH494">
            <v>74887.509999999995</v>
          </cell>
          <cell r="CI494">
            <v>10811.69</v>
          </cell>
          <cell r="CJ494">
            <v>94550.58</v>
          </cell>
          <cell r="CK494">
            <v>78540.55</v>
          </cell>
          <cell r="CL494">
            <v>91286.26</v>
          </cell>
          <cell r="CM494">
            <v>120439.41</v>
          </cell>
          <cell r="CN494">
            <v>104898.73</v>
          </cell>
          <cell r="CO494">
            <v>87518.89</v>
          </cell>
          <cell r="CP494">
            <v>94239.34</v>
          </cell>
          <cell r="CQ494">
            <v>144431.34</v>
          </cell>
          <cell r="CR494">
            <v>101694.44</v>
          </cell>
          <cell r="CS494">
            <v>105523.38</v>
          </cell>
          <cell r="CT494">
            <v>118172.21</v>
          </cell>
          <cell r="CU494">
            <v>91230.29</v>
          </cell>
          <cell r="CV494">
            <v>124150.56</v>
          </cell>
          <cell r="CW494">
            <v>96916.91</v>
          </cell>
          <cell r="CX494">
            <v>113770.82</v>
          </cell>
          <cell r="CY494">
            <v>139369.88</v>
          </cell>
          <cell r="CZ494">
            <v>142943.24</v>
          </cell>
          <cell r="DA494">
            <v>110607.85</v>
          </cell>
          <cell r="DB494">
            <v>116534.34</v>
          </cell>
          <cell r="DC494">
            <v>131713.25</v>
          </cell>
          <cell r="DD494">
            <v>97496.41</v>
          </cell>
          <cell r="DE494">
            <v>125913.41</v>
          </cell>
          <cell r="DF494">
            <v>99876.38</v>
          </cell>
          <cell r="DG494">
            <v>85060.34</v>
          </cell>
          <cell r="DH494">
            <v>1384353.39</v>
          </cell>
        </row>
        <row r="495">
          <cell r="A495" t="str">
            <v>9030</v>
          </cell>
          <cell r="D495">
            <v>564102.52</v>
          </cell>
          <cell r="E495">
            <v>495819.48</v>
          </cell>
          <cell r="F495">
            <v>544679.94999999995</v>
          </cell>
          <cell r="G495">
            <v>531836.18000000005</v>
          </cell>
          <cell r="H495">
            <v>548316.36</v>
          </cell>
          <cell r="I495">
            <v>489683.59</v>
          </cell>
          <cell r="J495">
            <v>592653.68999999994</v>
          </cell>
          <cell r="K495">
            <v>606590.66</v>
          </cell>
          <cell r="L495">
            <v>443609.99</v>
          </cell>
          <cell r="M495">
            <v>500348.45</v>
          </cell>
          <cell r="N495">
            <v>464232.39</v>
          </cell>
          <cell r="O495">
            <v>582793.32999999996</v>
          </cell>
          <cell r="P495">
            <v>411291.22</v>
          </cell>
          <cell r="Q495">
            <v>398955.11</v>
          </cell>
          <cell r="R495">
            <v>422449.06</v>
          </cell>
          <cell r="S495">
            <v>388151.03999999998</v>
          </cell>
          <cell r="T495">
            <v>342736.99</v>
          </cell>
          <cell r="U495">
            <v>475077.07</v>
          </cell>
          <cell r="V495">
            <v>422207.11</v>
          </cell>
          <cell r="W495">
            <v>369243.72</v>
          </cell>
          <cell r="X495">
            <v>401585.36</v>
          </cell>
          <cell r="Y495">
            <v>420753.38</v>
          </cell>
          <cell r="Z495">
            <v>455828.46</v>
          </cell>
          <cell r="AA495">
            <v>1777047.25</v>
          </cell>
          <cell r="AB495">
            <v>490761.56</v>
          </cell>
          <cell r="AC495">
            <v>507410.46</v>
          </cell>
          <cell r="AD495">
            <v>511550.24</v>
          </cell>
          <cell r="AE495">
            <v>590741.73</v>
          </cell>
          <cell r="AF495">
            <v>520688.91</v>
          </cell>
          <cell r="AG495">
            <v>482930.58</v>
          </cell>
          <cell r="AH495">
            <v>447838.78</v>
          </cell>
          <cell r="AI495">
            <v>644704.92000000004</v>
          </cell>
          <cell r="AJ495">
            <v>611801.38</v>
          </cell>
          <cell r="AK495">
            <v>504569.1</v>
          </cell>
          <cell r="AL495">
            <v>523146.89</v>
          </cell>
          <cell r="AM495">
            <v>1332151.51</v>
          </cell>
          <cell r="AN495">
            <v>882622.22</v>
          </cell>
          <cell r="AO495">
            <v>952412.83</v>
          </cell>
          <cell r="AP495">
            <v>770157.86</v>
          </cell>
          <cell r="AQ495">
            <v>1005588.32</v>
          </cell>
          <cell r="AR495">
            <v>935816.62</v>
          </cell>
          <cell r="AS495">
            <v>1051170.25</v>
          </cell>
          <cell r="AT495">
            <v>935673.23</v>
          </cell>
          <cell r="AU495">
            <v>979524.96</v>
          </cell>
          <cell r="AV495">
            <v>808888.38</v>
          </cell>
          <cell r="AW495">
            <v>1020002.39</v>
          </cell>
          <cell r="AX495">
            <v>990150.1</v>
          </cell>
          <cell r="AY495">
            <v>1025996.19</v>
          </cell>
          <cell r="AZ495">
            <v>988372.14</v>
          </cell>
          <cell r="BA495">
            <v>893929.76</v>
          </cell>
          <cell r="BB495">
            <v>968266.86</v>
          </cell>
          <cell r="BC495">
            <v>893322.41</v>
          </cell>
          <cell r="BD495">
            <v>1030658.65</v>
          </cell>
          <cell r="BE495">
            <v>1006257.68</v>
          </cell>
          <cell r="BF495">
            <v>1030459.41</v>
          </cell>
          <cell r="BG495">
            <v>776790.88</v>
          </cell>
          <cell r="BH495">
            <v>902888.95999999996</v>
          </cell>
          <cell r="BI495">
            <v>1124983.07</v>
          </cell>
          <cell r="BJ495">
            <v>857699.15</v>
          </cell>
          <cell r="BK495">
            <v>940794.03</v>
          </cell>
          <cell r="BL495">
            <v>987294.39</v>
          </cell>
          <cell r="BM495">
            <v>1045801.78</v>
          </cell>
          <cell r="BN495">
            <v>985859.72</v>
          </cell>
          <cell r="BO495">
            <v>944318.09</v>
          </cell>
          <cell r="BP495">
            <v>1207035.28</v>
          </cell>
          <cell r="BQ495">
            <v>945466.74</v>
          </cell>
          <cell r="BR495">
            <v>970605.12</v>
          </cell>
          <cell r="BS495">
            <v>1100377.1499999999</v>
          </cell>
          <cell r="BT495">
            <v>970700.99</v>
          </cell>
          <cell r="BU495">
            <v>1003060.34</v>
          </cell>
          <cell r="BV495">
            <v>970778.8</v>
          </cell>
          <cell r="BW495">
            <v>1069188.8400000001</v>
          </cell>
          <cell r="BX495">
            <v>842038.04</v>
          </cell>
          <cell r="BY495">
            <v>978980.36</v>
          </cell>
          <cell r="BZ495">
            <v>1025093.17</v>
          </cell>
          <cell r="CA495">
            <v>1000004.97</v>
          </cell>
          <cell r="CB495">
            <v>1070301.79</v>
          </cell>
          <cell r="CC495">
            <v>878785.97</v>
          </cell>
          <cell r="CD495">
            <v>1046274.75</v>
          </cell>
          <cell r="CE495">
            <v>906402.73</v>
          </cell>
          <cell r="CF495">
            <v>944993.37</v>
          </cell>
          <cell r="CG495">
            <v>999650.66</v>
          </cell>
          <cell r="CH495">
            <v>1017438.64</v>
          </cell>
          <cell r="CI495">
            <v>1019241.79</v>
          </cell>
          <cell r="CJ495">
            <v>1036375.83</v>
          </cell>
          <cell r="CK495">
            <v>1043327.3</v>
          </cell>
          <cell r="CL495">
            <v>1040088.55</v>
          </cell>
          <cell r="CM495">
            <v>1017148.63</v>
          </cell>
          <cell r="CN495">
            <v>1012265.39</v>
          </cell>
          <cell r="CO495">
            <v>1243630.8899999999</v>
          </cell>
          <cell r="CP495">
            <v>999711.12</v>
          </cell>
          <cell r="CQ495">
            <v>983626.12</v>
          </cell>
          <cell r="CR495">
            <v>940274.05</v>
          </cell>
          <cell r="CS495">
            <v>976548.38</v>
          </cell>
          <cell r="CT495">
            <v>1214697.6100000001</v>
          </cell>
          <cell r="CU495">
            <v>1182009.3899999999</v>
          </cell>
          <cell r="CV495">
            <v>1085007.32</v>
          </cell>
          <cell r="CW495">
            <v>1010256.2</v>
          </cell>
          <cell r="CX495">
            <v>1155492.28</v>
          </cell>
          <cell r="CY495">
            <v>1213928.19</v>
          </cell>
          <cell r="CZ495">
            <v>1141607.8</v>
          </cell>
          <cell r="DA495">
            <v>1091262.44</v>
          </cell>
          <cell r="DB495">
            <v>1068383.19</v>
          </cell>
          <cell r="DC495">
            <v>1197223.93</v>
          </cell>
          <cell r="DD495">
            <v>1105070.3400000001</v>
          </cell>
          <cell r="DE495">
            <v>1077169.23</v>
          </cell>
          <cell r="DF495">
            <v>1020831.11</v>
          </cell>
          <cell r="DG495">
            <v>1025691.37</v>
          </cell>
          <cell r="DH495">
            <v>13191923.399999999</v>
          </cell>
        </row>
        <row r="496">
          <cell r="A496" t="str">
            <v>9040</v>
          </cell>
          <cell r="D496">
            <v>97804.19</v>
          </cell>
          <cell r="E496">
            <v>82692.84</v>
          </cell>
          <cell r="F496">
            <v>70286.490000000005</v>
          </cell>
          <cell r="G496">
            <v>65725.16</v>
          </cell>
          <cell r="H496">
            <v>54158.16</v>
          </cell>
          <cell r="I496">
            <v>53695.25</v>
          </cell>
          <cell r="J496">
            <v>52342.2</v>
          </cell>
          <cell r="K496">
            <v>51660.88</v>
          </cell>
          <cell r="L496">
            <v>70514.58</v>
          </cell>
          <cell r="M496">
            <v>59189.55</v>
          </cell>
          <cell r="N496">
            <v>65188.66</v>
          </cell>
          <cell r="O496">
            <v>85258.13</v>
          </cell>
          <cell r="P496">
            <v>93028.45</v>
          </cell>
          <cell r="Q496">
            <v>107974.73</v>
          </cell>
          <cell r="R496">
            <v>83578.3</v>
          </cell>
          <cell r="S496">
            <v>68383.14</v>
          </cell>
          <cell r="T496">
            <v>60045.99</v>
          </cell>
          <cell r="U496">
            <v>62134.94</v>
          </cell>
          <cell r="V496">
            <v>58948.7</v>
          </cell>
          <cell r="W496">
            <v>56115.31</v>
          </cell>
          <cell r="X496">
            <v>51768.56</v>
          </cell>
          <cell r="Y496">
            <v>51341.64</v>
          </cell>
          <cell r="Z496">
            <v>53788.18</v>
          </cell>
          <cell r="AA496">
            <v>59504.91</v>
          </cell>
          <cell r="AB496">
            <v>74274.12</v>
          </cell>
          <cell r="AC496">
            <v>78933.679999999993</v>
          </cell>
          <cell r="AD496">
            <v>62765.72</v>
          </cell>
          <cell r="AE496">
            <v>54382.35</v>
          </cell>
          <cell r="AF496">
            <v>46770.37</v>
          </cell>
          <cell r="AG496">
            <v>45252.35</v>
          </cell>
          <cell r="AH496">
            <v>44995.9</v>
          </cell>
          <cell r="AI496">
            <v>45495.18</v>
          </cell>
          <cell r="AJ496">
            <v>49920.85</v>
          </cell>
          <cell r="AK496">
            <v>50283.05</v>
          </cell>
          <cell r="AL496">
            <v>57802.77</v>
          </cell>
          <cell r="AM496">
            <v>-682282.52</v>
          </cell>
          <cell r="AN496">
            <v>76995.02</v>
          </cell>
          <cell r="AO496">
            <v>54207.81</v>
          </cell>
          <cell r="AP496">
            <v>145179.68</v>
          </cell>
          <cell r="AQ496">
            <v>165397.71</v>
          </cell>
          <cell r="AR496">
            <v>46453.84</v>
          </cell>
          <cell r="AS496">
            <v>68074.42</v>
          </cell>
          <cell r="AT496">
            <v>154655.26</v>
          </cell>
          <cell r="AU496">
            <v>195006.49</v>
          </cell>
          <cell r="AV496">
            <v>289967.14</v>
          </cell>
          <cell r="AW496">
            <v>240698.39</v>
          </cell>
          <cell r="AX496">
            <v>112863.83</v>
          </cell>
          <cell r="AY496">
            <v>58467.89</v>
          </cell>
          <cell r="AZ496">
            <v>168961.33</v>
          </cell>
          <cell r="BA496">
            <v>-38525.449999999997</v>
          </cell>
          <cell r="BB496">
            <v>43301.16</v>
          </cell>
          <cell r="BC496">
            <v>143130.59</v>
          </cell>
          <cell r="BD496">
            <v>143320.99</v>
          </cell>
          <cell r="BE496">
            <v>90887.9</v>
          </cell>
          <cell r="BF496">
            <v>145585.75</v>
          </cell>
          <cell r="BG496">
            <v>126038.48</v>
          </cell>
          <cell r="BH496">
            <v>107666.72</v>
          </cell>
          <cell r="BI496">
            <v>116781.94</v>
          </cell>
          <cell r="BJ496">
            <v>134630.57</v>
          </cell>
          <cell r="BK496">
            <v>247068.93</v>
          </cell>
          <cell r="BL496">
            <v>138773.31</v>
          </cell>
          <cell r="BM496">
            <v>81454.31</v>
          </cell>
          <cell r="BN496">
            <v>159889.56</v>
          </cell>
          <cell r="BO496">
            <v>233621</v>
          </cell>
          <cell r="BP496">
            <v>86929.16</v>
          </cell>
          <cell r="BQ496">
            <v>63624.33</v>
          </cell>
          <cell r="BR496">
            <v>75912.66</v>
          </cell>
          <cell r="BS496">
            <v>75049.919999999998</v>
          </cell>
          <cell r="BT496">
            <v>110212.54</v>
          </cell>
          <cell r="BU496">
            <v>69666.13</v>
          </cell>
          <cell r="BV496">
            <v>82098.64</v>
          </cell>
          <cell r="BW496">
            <v>86964.55</v>
          </cell>
          <cell r="BX496">
            <v>123636.72</v>
          </cell>
          <cell r="BY496">
            <v>7329.83</v>
          </cell>
          <cell r="BZ496">
            <v>176173.92</v>
          </cell>
          <cell r="CA496">
            <v>224333.44</v>
          </cell>
          <cell r="CB496">
            <v>232939.77</v>
          </cell>
          <cell r="CC496">
            <v>265926.84999999998</v>
          </cell>
          <cell r="CD496">
            <v>203420.81</v>
          </cell>
          <cell r="CE496">
            <v>-322058.40000000002</v>
          </cell>
          <cell r="CF496">
            <v>169282.07</v>
          </cell>
          <cell r="CG496">
            <v>893944.83</v>
          </cell>
          <cell r="CH496">
            <v>204824.7</v>
          </cell>
          <cell r="CI496">
            <v>-313308.84000000003</v>
          </cell>
          <cell r="CJ496">
            <v>282197.19</v>
          </cell>
          <cell r="CK496">
            <v>218948.86</v>
          </cell>
          <cell r="CL496">
            <v>-291477.07</v>
          </cell>
          <cell r="CM496">
            <v>211401.44</v>
          </cell>
          <cell r="CN496">
            <v>178845.64</v>
          </cell>
          <cell r="CO496">
            <v>128740.2</v>
          </cell>
          <cell r="CP496">
            <v>172822.22</v>
          </cell>
          <cell r="CQ496">
            <v>163962.43</v>
          </cell>
          <cell r="CR496">
            <v>148518.26</v>
          </cell>
          <cell r="CS496">
            <v>191030.26</v>
          </cell>
          <cell r="CT496">
            <v>45370.22</v>
          </cell>
          <cell r="CU496">
            <v>122363.13</v>
          </cell>
          <cell r="CV496">
            <v>142723.4</v>
          </cell>
          <cell r="CW496">
            <v>32303.99</v>
          </cell>
          <cell r="CX496">
            <v>104964.45</v>
          </cell>
          <cell r="CY496">
            <v>2052.12</v>
          </cell>
          <cell r="CZ496">
            <v>124809.87</v>
          </cell>
          <cell r="DA496">
            <v>168268.32</v>
          </cell>
          <cell r="DB496">
            <v>115013.96</v>
          </cell>
          <cell r="DC496">
            <v>209525.8</v>
          </cell>
          <cell r="DD496">
            <v>110156.43</v>
          </cell>
          <cell r="DE496">
            <v>108616.66</v>
          </cell>
          <cell r="DF496">
            <v>36241.58</v>
          </cell>
          <cell r="DG496">
            <v>-163884.82999999999</v>
          </cell>
          <cell r="DH496">
            <v>990791.74999999988</v>
          </cell>
        </row>
        <row r="497">
          <cell r="A497" t="str">
            <v>9080</v>
          </cell>
          <cell r="D497">
            <v>979889.82</v>
          </cell>
          <cell r="E497">
            <v>689721.67</v>
          </cell>
          <cell r="F497">
            <v>685075.35</v>
          </cell>
          <cell r="G497">
            <v>786390.8</v>
          </cell>
          <cell r="H497">
            <v>719214.5</v>
          </cell>
          <cell r="I497">
            <v>774677.95</v>
          </cell>
          <cell r="J497">
            <v>1179321.8500000001</v>
          </cell>
          <cell r="K497">
            <v>758587.99</v>
          </cell>
          <cell r="L497">
            <v>948777.18</v>
          </cell>
          <cell r="M497">
            <v>902144.24</v>
          </cell>
          <cell r="N497">
            <v>857173.84</v>
          </cell>
          <cell r="O497">
            <v>698261.84</v>
          </cell>
          <cell r="P497">
            <v>1259913.53</v>
          </cell>
          <cell r="Q497">
            <v>824310.27</v>
          </cell>
          <cell r="R497">
            <v>1016935.54</v>
          </cell>
          <cell r="S497">
            <v>771359.12</v>
          </cell>
          <cell r="T497">
            <v>1023767.49</v>
          </cell>
          <cell r="U497">
            <v>888991.91</v>
          </cell>
          <cell r="V497">
            <v>888769.33</v>
          </cell>
          <cell r="W497">
            <v>910290.32</v>
          </cell>
          <cell r="X497">
            <v>886279.68000000005</v>
          </cell>
          <cell r="Y497">
            <v>1119872.03</v>
          </cell>
          <cell r="Z497">
            <v>847945.39</v>
          </cell>
          <cell r="AA497">
            <v>775580.44</v>
          </cell>
          <cell r="AB497">
            <v>987682.01</v>
          </cell>
          <cell r="AC497">
            <v>911257.27</v>
          </cell>
          <cell r="AD497">
            <v>954468.4</v>
          </cell>
          <cell r="AE497">
            <v>830054.02</v>
          </cell>
          <cell r="AF497">
            <v>1113469.03</v>
          </cell>
          <cell r="AG497">
            <v>1092779.42</v>
          </cell>
          <cell r="AH497">
            <v>970740.7</v>
          </cell>
          <cell r="AI497">
            <v>1119985.77</v>
          </cell>
          <cell r="AJ497">
            <v>821350.73</v>
          </cell>
          <cell r="AK497">
            <v>1137381.32</v>
          </cell>
          <cell r="AL497">
            <v>830814.05</v>
          </cell>
          <cell r="AM497">
            <v>1456647.51</v>
          </cell>
          <cell r="AN497">
            <v>346891.99</v>
          </cell>
          <cell r="AO497">
            <v>634285.49</v>
          </cell>
          <cell r="AP497">
            <v>874689.58</v>
          </cell>
          <cell r="AQ497">
            <v>851297.21</v>
          </cell>
          <cell r="AR497">
            <v>1353653.4</v>
          </cell>
          <cell r="AS497">
            <v>1431345.82</v>
          </cell>
          <cell r="AT497">
            <v>1403693.14</v>
          </cell>
          <cell r="AU497">
            <v>1592701.57</v>
          </cell>
          <cell r="AV497">
            <v>1267586.3999999999</v>
          </cell>
          <cell r="AW497">
            <v>1568137.8</v>
          </cell>
          <cell r="AX497">
            <v>1125735.6299999999</v>
          </cell>
          <cell r="AY497">
            <v>963681.4</v>
          </cell>
          <cell r="AZ497">
            <v>1279446.1000000001</v>
          </cell>
          <cell r="BA497">
            <v>1562693.04</v>
          </cell>
          <cell r="BB497">
            <v>1744607.14</v>
          </cell>
          <cell r="BC497">
            <v>2593722.4300000002</v>
          </cell>
          <cell r="BD497">
            <v>998823.23</v>
          </cell>
          <cell r="BE497">
            <v>1023143.05</v>
          </cell>
          <cell r="BF497">
            <v>1976514.55</v>
          </cell>
          <cell r="BG497">
            <v>1390967.56</v>
          </cell>
          <cell r="BH497">
            <v>891641.1</v>
          </cell>
          <cell r="BI497">
            <v>1686545.01</v>
          </cell>
          <cell r="BJ497">
            <v>985064.18</v>
          </cell>
          <cell r="BK497">
            <v>1298484.99</v>
          </cell>
          <cell r="BL497">
            <v>1640927.34</v>
          </cell>
          <cell r="BM497">
            <v>783425.63</v>
          </cell>
          <cell r="BN497">
            <v>1033853.11</v>
          </cell>
          <cell r="BO497">
            <v>1190321.1000000001</v>
          </cell>
          <cell r="BP497">
            <v>984202.04</v>
          </cell>
          <cell r="BQ497">
            <v>1763188.4</v>
          </cell>
          <cell r="BR497">
            <v>2027281.84</v>
          </cell>
          <cell r="BS497">
            <v>1353335.75</v>
          </cell>
          <cell r="BT497">
            <v>936932.08</v>
          </cell>
          <cell r="BU497">
            <v>1254654.1599999999</v>
          </cell>
          <cell r="BV497">
            <v>1270179.72</v>
          </cell>
          <cell r="BW497">
            <v>1429431.11</v>
          </cell>
          <cell r="BX497">
            <v>1489567.51</v>
          </cell>
          <cell r="BY497">
            <v>1127245.3600000001</v>
          </cell>
          <cell r="BZ497">
            <v>1068408.21</v>
          </cell>
          <cell r="CA497">
            <v>1503072.45</v>
          </cell>
          <cell r="CB497">
            <v>1225653.96</v>
          </cell>
          <cell r="CC497">
            <v>1375010.92</v>
          </cell>
          <cell r="CD497">
            <v>1194803.32</v>
          </cell>
          <cell r="CE497">
            <v>1245130.02</v>
          </cell>
          <cell r="CF497">
            <v>1624928.97</v>
          </cell>
          <cell r="CG497">
            <v>1485533.28</v>
          </cell>
          <cell r="CH497">
            <v>1243303.46</v>
          </cell>
          <cell r="CI497">
            <v>1355002.13</v>
          </cell>
          <cell r="CJ497">
            <v>1275601.9199999999</v>
          </cell>
          <cell r="CK497">
            <v>1650524.29</v>
          </cell>
          <cell r="CL497">
            <v>1567765.76</v>
          </cell>
          <cell r="CM497">
            <v>1358304.88</v>
          </cell>
          <cell r="CN497">
            <v>1195782.67</v>
          </cell>
          <cell r="CO497">
            <v>1184872.58</v>
          </cell>
          <cell r="CP497">
            <v>1341957.6599999999</v>
          </cell>
          <cell r="CQ497">
            <v>966870.3</v>
          </cell>
          <cell r="CR497">
            <v>1471370.63</v>
          </cell>
          <cell r="CS497">
            <v>1454114.59</v>
          </cell>
          <cell r="CT497">
            <v>1401498.8</v>
          </cell>
          <cell r="CU497">
            <v>1094936.1299999999</v>
          </cell>
          <cell r="CV497">
            <v>1720820.37</v>
          </cell>
          <cell r="CW497">
            <v>1388188.53</v>
          </cell>
          <cell r="CX497">
            <v>2714255.56</v>
          </cell>
          <cell r="CY497">
            <v>1397251.76</v>
          </cell>
          <cell r="CZ497">
            <v>1109099.25</v>
          </cell>
          <cell r="DA497">
            <v>782763.04</v>
          </cell>
          <cell r="DB497">
            <v>2923595.42</v>
          </cell>
          <cell r="DC497">
            <v>1690295.99</v>
          </cell>
          <cell r="DD497">
            <v>2176679.29</v>
          </cell>
          <cell r="DE497">
            <v>1824999.65</v>
          </cell>
          <cell r="DF497">
            <v>1947339.94</v>
          </cell>
          <cell r="DG497">
            <v>1943347.36</v>
          </cell>
          <cell r="DH497">
            <v>21618636.16</v>
          </cell>
        </row>
        <row r="498">
          <cell r="A498" t="str">
            <v>9090</v>
          </cell>
          <cell r="D498">
            <v>65209.59</v>
          </cell>
          <cell r="E498">
            <v>108689</v>
          </cell>
          <cell r="F498">
            <v>35666.65</v>
          </cell>
          <cell r="G498">
            <v>41942.410000000003</v>
          </cell>
          <cell r="H498">
            <v>120445.41</v>
          </cell>
          <cell r="I498">
            <v>55332.5</v>
          </cell>
          <cell r="J498">
            <v>180153</v>
          </cell>
          <cell r="K498">
            <v>219405.75</v>
          </cell>
          <cell r="L498">
            <v>174166.67</v>
          </cell>
          <cell r="M498">
            <v>75778.7</v>
          </cell>
          <cell r="N498">
            <v>108537.5</v>
          </cell>
          <cell r="O498">
            <v>64140</v>
          </cell>
          <cell r="P498">
            <v>54419.5</v>
          </cell>
          <cell r="Q498">
            <v>85237.5</v>
          </cell>
          <cell r="R498">
            <v>90521.01</v>
          </cell>
          <cell r="S498">
            <v>25207.01</v>
          </cell>
          <cell r="T498">
            <v>51436.01</v>
          </cell>
          <cell r="U498">
            <v>74665.759999999995</v>
          </cell>
          <cell r="V498">
            <v>69530.759999999995</v>
          </cell>
          <cell r="W498">
            <v>250839.66</v>
          </cell>
          <cell r="X498">
            <v>121261.01</v>
          </cell>
          <cell r="Y498">
            <v>213529.22</v>
          </cell>
          <cell r="Z498">
            <v>20438.48</v>
          </cell>
          <cell r="AA498">
            <v>62413.98</v>
          </cell>
          <cell r="AB498">
            <v>40212.01</v>
          </cell>
          <cell r="AC498">
            <v>25254.5</v>
          </cell>
          <cell r="AD498">
            <v>96540.53</v>
          </cell>
          <cell r="AE498">
            <v>71107.240000000005</v>
          </cell>
          <cell r="AF498">
            <v>67899.55</v>
          </cell>
          <cell r="AG498">
            <v>64468.59</v>
          </cell>
          <cell r="AH498">
            <v>51640.25</v>
          </cell>
          <cell r="AI498">
            <v>337702.45</v>
          </cell>
          <cell r="AJ498">
            <v>107672.75</v>
          </cell>
          <cell r="AK498">
            <v>179625</v>
          </cell>
          <cell r="AL498">
            <v>26674.79</v>
          </cell>
          <cell r="AM498">
            <v>50288.73</v>
          </cell>
          <cell r="AN498">
            <v>39555.839999999997</v>
          </cell>
          <cell r="AO498">
            <v>87136.84</v>
          </cell>
          <cell r="AP498">
            <v>13657.41</v>
          </cell>
          <cell r="AQ498">
            <v>16652.419999999998</v>
          </cell>
          <cell r="AR498">
            <v>90903.24</v>
          </cell>
          <cell r="AS498">
            <v>71264.899999999994</v>
          </cell>
          <cell r="AT498">
            <v>60968.45</v>
          </cell>
          <cell r="AU498">
            <v>15055.25</v>
          </cell>
          <cell r="AV498">
            <v>2315.25</v>
          </cell>
          <cell r="AW498">
            <v>413789.15</v>
          </cell>
          <cell r="AX498">
            <v>227309.27</v>
          </cell>
          <cell r="AY498">
            <v>86372.25</v>
          </cell>
          <cell r="AZ498">
            <v>38404.57</v>
          </cell>
          <cell r="BA498">
            <v>3539.34</v>
          </cell>
          <cell r="BB498">
            <v>89703.15</v>
          </cell>
          <cell r="BC498">
            <v>20708.599999999999</v>
          </cell>
          <cell r="BD498">
            <v>20620.98</v>
          </cell>
          <cell r="BE498">
            <v>112844</v>
          </cell>
          <cell r="BF498">
            <v>185113.37</v>
          </cell>
          <cell r="BG498">
            <v>166054.37</v>
          </cell>
          <cell r="BH498">
            <v>3100</v>
          </cell>
          <cell r="BI498">
            <v>387929.81</v>
          </cell>
          <cell r="BJ498">
            <v>41400</v>
          </cell>
          <cell r="BK498">
            <v>74256</v>
          </cell>
          <cell r="BL498">
            <v>41900</v>
          </cell>
          <cell r="BM498">
            <v>0</v>
          </cell>
          <cell r="BN498">
            <v>25745</v>
          </cell>
          <cell r="BO498">
            <v>172505</v>
          </cell>
          <cell r="BP498">
            <v>76822.37</v>
          </cell>
          <cell r="BQ498">
            <v>9160</v>
          </cell>
          <cell r="BR498">
            <v>97202.5</v>
          </cell>
          <cell r="BS498">
            <v>9222.5</v>
          </cell>
          <cell r="BT498">
            <v>18535</v>
          </cell>
          <cell r="BU498">
            <v>346285</v>
          </cell>
          <cell r="BV498">
            <v>130676.2</v>
          </cell>
          <cell r="BW498">
            <v>23550.6</v>
          </cell>
          <cell r="BX498">
            <v>144000</v>
          </cell>
          <cell r="BY498">
            <v>25089.51</v>
          </cell>
          <cell r="BZ498">
            <v>21738</v>
          </cell>
          <cell r="CA498">
            <v>0</v>
          </cell>
          <cell r="CB498">
            <v>118581.8</v>
          </cell>
          <cell r="CC498">
            <v>1340</v>
          </cell>
          <cell r="CD498">
            <v>0</v>
          </cell>
          <cell r="CE498">
            <v>161261</v>
          </cell>
          <cell r="CF498">
            <v>64375.25</v>
          </cell>
          <cell r="CG498">
            <v>395140</v>
          </cell>
          <cell r="CH498">
            <v>64000</v>
          </cell>
          <cell r="CI498">
            <v>99999</v>
          </cell>
          <cell r="CJ498">
            <v>0</v>
          </cell>
          <cell r="CK498">
            <v>147963</v>
          </cell>
          <cell r="CL498">
            <v>0</v>
          </cell>
          <cell r="CM498">
            <v>82237.5</v>
          </cell>
          <cell r="CN498">
            <v>87947.03</v>
          </cell>
          <cell r="CO498">
            <v>8887.5</v>
          </cell>
          <cell r="CP498">
            <v>82377.75</v>
          </cell>
          <cell r="CQ498">
            <v>225</v>
          </cell>
          <cell r="CR498">
            <v>119106.5</v>
          </cell>
          <cell r="CS498">
            <v>0</v>
          </cell>
          <cell r="CT498">
            <v>0</v>
          </cell>
          <cell r="CU498">
            <v>505527.98</v>
          </cell>
          <cell r="CV498">
            <v>-85000</v>
          </cell>
          <cell r="CW498">
            <v>33925</v>
          </cell>
          <cell r="CX498">
            <v>216240</v>
          </cell>
          <cell r="CY498">
            <v>80240</v>
          </cell>
          <cell r="CZ498">
            <v>200175</v>
          </cell>
          <cell r="DA498">
            <v>6672.28</v>
          </cell>
          <cell r="DB498">
            <v>26125</v>
          </cell>
          <cell r="DC498">
            <v>109032</v>
          </cell>
          <cell r="DD498">
            <v>46606.54</v>
          </cell>
          <cell r="DE498">
            <v>196800</v>
          </cell>
          <cell r="DF498">
            <v>164630.38</v>
          </cell>
          <cell r="DG498">
            <v>210568.72</v>
          </cell>
          <cell r="DH498">
            <v>1206014.9200000002</v>
          </cell>
        </row>
        <row r="499">
          <cell r="A499" t="str">
            <v>9120</v>
          </cell>
          <cell r="D499">
            <v>594331.44999999995</v>
          </cell>
          <cell r="E499">
            <v>739179.26</v>
          </cell>
          <cell r="F499">
            <v>639134.80000000005</v>
          </cell>
          <cell r="G499">
            <v>614238.48</v>
          </cell>
          <cell r="H499">
            <v>627353.81999999995</v>
          </cell>
          <cell r="I499">
            <v>577548.05000000005</v>
          </cell>
          <cell r="J499">
            <v>576009.07999999996</v>
          </cell>
          <cell r="K499">
            <v>590077.78</v>
          </cell>
          <cell r="L499">
            <v>598271.72</v>
          </cell>
          <cell r="M499">
            <v>576351.25</v>
          </cell>
          <cell r="N499">
            <v>576124.24</v>
          </cell>
          <cell r="O499">
            <v>828847.16</v>
          </cell>
          <cell r="P499">
            <v>608542</v>
          </cell>
          <cell r="Q499">
            <v>658167</v>
          </cell>
          <cell r="R499">
            <v>585543.88</v>
          </cell>
          <cell r="S499">
            <v>658162</v>
          </cell>
          <cell r="T499">
            <v>597727</v>
          </cell>
          <cell r="U499">
            <v>591017</v>
          </cell>
          <cell r="V499">
            <v>599717</v>
          </cell>
          <cell r="W499">
            <v>595818.88</v>
          </cell>
          <cell r="X499">
            <v>598542</v>
          </cell>
          <cell r="Y499">
            <v>588401.88</v>
          </cell>
          <cell r="Z499">
            <v>585137.12</v>
          </cell>
          <cell r="AA499">
            <v>862804</v>
          </cell>
          <cell r="AB499">
            <v>728546</v>
          </cell>
          <cell r="AC499">
            <v>607546</v>
          </cell>
          <cell r="AD499">
            <v>650613</v>
          </cell>
          <cell r="AE499">
            <v>596456</v>
          </cell>
          <cell r="AF499">
            <v>598221</v>
          </cell>
          <cell r="AG499">
            <v>602681</v>
          </cell>
          <cell r="AH499">
            <v>598396</v>
          </cell>
          <cell r="AI499">
            <v>599158.59</v>
          </cell>
          <cell r="AJ499">
            <v>601918.59</v>
          </cell>
          <cell r="AK499">
            <v>615486.07999999996</v>
          </cell>
          <cell r="AL499">
            <v>620121.12</v>
          </cell>
          <cell r="AM499">
            <v>1008190</v>
          </cell>
          <cell r="AN499">
            <v>614616.31999999995</v>
          </cell>
          <cell r="AO499">
            <v>599616.5</v>
          </cell>
          <cell r="AP499">
            <v>606680</v>
          </cell>
          <cell r="AQ499">
            <v>594930</v>
          </cell>
          <cell r="AR499">
            <v>597902.11</v>
          </cell>
          <cell r="AS499">
            <v>594436.9</v>
          </cell>
          <cell r="AT499">
            <v>611253.80000000005</v>
          </cell>
          <cell r="AU499">
            <v>599780</v>
          </cell>
          <cell r="AV499">
            <v>600157.32999999996</v>
          </cell>
          <cell r="AW499">
            <v>610919.98</v>
          </cell>
          <cell r="AX499">
            <v>600180</v>
          </cell>
          <cell r="AY499">
            <v>928475</v>
          </cell>
          <cell r="AZ499">
            <v>650444</v>
          </cell>
          <cell r="BA499">
            <v>617491</v>
          </cell>
          <cell r="BB499">
            <v>642042.61</v>
          </cell>
          <cell r="BC499">
            <v>605299</v>
          </cell>
          <cell r="BD499">
            <v>628151</v>
          </cell>
          <cell r="BE499">
            <v>670766</v>
          </cell>
          <cell r="BF499">
            <v>641579.19999999995</v>
          </cell>
          <cell r="BG499">
            <v>604712.43999999994</v>
          </cell>
          <cell r="BH499">
            <v>608344.25</v>
          </cell>
          <cell r="BI499">
            <v>621207.89</v>
          </cell>
          <cell r="BJ499">
            <v>616863.25</v>
          </cell>
          <cell r="BK499">
            <v>831952.8</v>
          </cell>
          <cell r="BL499">
            <v>670914</v>
          </cell>
          <cell r="BM499">
            <v>666709.06999999995</v>
          </cell>
          <cell r="BN499">
            <v>624495.54</v>
          </cell>
          <cell r="BO499">
            <v>669256.30000000005</v>
          </cell>
          <cell r="BP499">
            <v>642588.74</v>
          </cell>
          <cell r="BQ499">
            <v>680662.84</v>
          </cell>
          <cell r="BR499">
            <v>619447.06000000006</v>
          </cell>
          <cell r="BS499">
            <v>593526.98</v>
          </cell>
          <cell r="BT499">
            <v>622084.15</v>
          </cell>
          <cell r="BU499">
            <v>631293.67000000004</v>
          </cell>
          <cell r="BV499">
            <v>624973.9</v>
          </cell>
          <cell r="BW499">
            <v>909173.58</v>
          </cell>
          <cell r="BX499">
            <v>699024.81</v>
          </cell>
          <cell r="BY499">
            <v>696266.91</v>
          </cell>
          <cell r="BZ499">
            <v>632870.28</v>
          </cell>
          <cell r="CA499">
            <v>638078.12</v>
          </cell>
          <cell r="CB499">
            <v>671713.57</v>
          </cell>
          <cell r="CC499">
            <v>638748.32999999996</v>
          </cell>
          <cell r="CD499">
            <v>628385.73</v>
          </cell>
          <cell r="CE499">
            <v>653468</v>
          </cell>
          <cell r="CF499">
            <v>634423</v>
          </cell>
          <cell r="CG499">
            <v>634593</v>
          </cell>
          <cell r="CH499">
            <v>642968</v>
          </cell>
          <cell r="CI499">
            <v>914611.32</v>
          </cell>
          <cell r="CJ499">
            <v>610545</v>
          </cell>
          <cell r="CK499">
            <v>719735.5</v>
          </cell>
          <cell r="CL499">
            <v>654340</v>
          </cell>
          <cell r="CM499">
            <v>639220</v>
          </cell>
          <cell r="CN499">
            <v>612865.53</v>
          </cell>
          <cell r="CO499">
            <v>625602.28</v>
          </cell>
          <cell r="CP499">
            <v>613145</v>
          </cell>
          <cell r="CQ499">
            <v>635090.32999999996</v>
          </cell>
          <cell r="CR499">
            <v>622933.43999999994</v>
          </cell>
          <cell r="CS499">
            <v>648625.9</v>
          </cell>
          <cell r="CT499">
            <v>618784.1</v>
          </cell>
          <cell r="CU499">
            <v>834856</v>
          </cell>
          <cell r="CV499">
            <v>703966</v>
          </cell>
          <cell r="CW499">
            <v>622862.15</v>
          </cell>
          <cell r="CX499">
            <v>634961.92000000004</v>
          </cell>
          <cell r="CY499">
            <v>628851</v>
          </cell>
          <cell r="CZ499">
            <v>677628.96</v>
          </cell>
          <cell r="DA499">
            <v>628879.96</v>
          </cell>
          <cell r="DB499">
            <v>640714</v>
          </cell>
          <cell r="DC499">
            <v>652855.96</v>
          </cell>
          <cell r="DD499">
            <v>632221</v>
          </cell>
          <cell r="DE499">
            <v>624046</v>
          </cell>
          <cell r="DF499">
            <v>638021</v>
          </cell>
          <cell r="DG499">
            <v>822594</v>
          </cell>
          <cell r="DH499">
            <v>7907601.9500000002</v>
          </cell>
        </row>
        <row r="500">
          <cell r="A500" t="str">
            <v>9130</v>
          </cell>
          <cell r="D500">
            <v>12442.85</v>
          </cell>
          <cell r="E500">
            <v>174607.88</v>
          </cell>
          <cell r="F500">
            <v>81786.75</v>
          </cell>
          <cell r="G500">
            <v>8810.24</v>
          </cell>
          <cell r="H500">
            <v>-15077.94</v>
          </cell>
          <cell r="I500">
            <v>212639.98</v>
          </cell>
          <cell r="J500">
            <v>-100753.54</v>
          </cell>
          <cell r="K500">
            <v>16021.71</v>
          </cell>
          <cell r="L500">
            <v>128879.82</v>
          </cell>
          <cell r="M500">
            <v>27948.02</v>
          </cell>
          <cell r="N500">
            <v>-80519.05</v>
          </cell>
          <cell r="O500">
            <v>12906.13</v>
          </cell>
          <cell r="P500">
            <v>12065.53</v>
          </cell>
          <cell r="Q500">
            <v>49448.35</v>
          </cell>
          <cell r="R500">
            <v>9687.1200000000008</v>
          </cell>
          <cell r="S500">
            <v>10063.209999999999</v>
          </cell>
          <cell r="T500">
            <v>19702.2</v>
          </cell>
          <cell r="U500">
            <v>31988.28</v>
          </cell>
          <cell r="V500">
            <v>91955.01</v>
          </cell>
          <cell r="W500">
            <v>4174.67</v>
          </cell>
          <cell r="X500">
            <v>119643.55</v>
          </cell>
          <cell r="Y500">
            <v>81876.41</v>
          </cell>
          <cell r="Z500">
            <v>13142.64</v>
          </cell>
          <cell r="AA500">
            <v>7573.13</v>
          </cell>
          <cell r="AB500">
            <v>3893.49</v>
          </cell>
          <cell r="AC500">
            <v>7924.68</v>
          </cell>
          <cell r="AD500">
            <v>2728.16</v>
          </cell>
          <cell r="AE500">
            <v>53780.14</v>
          </cell>
          <cell r="AF500">
            <v>3441.98</v>
          </cell>
          <cell r="AG500">
            <v>11919.16</v>
          </cell>
          <cell r="AH500">
            <v>9907.2900000000009</v>
          </cell>
          <cell r="AI500">
            <v>122310.73</v>
          </cell>
          <cell r="AJ500">
            <v>9303.27</v>
          </cell>
          <cell r="AK500">
            <v>454.11</v>
          </cell>
          <cell r="AL500">
            <v>35838.97</v>
          </cell>
          <cell r="AM500">
            <v>7914.76</v>
          </cell>
          <cell r="AN500">
            <v>6933.95</v>
          </cell>
          <cell r="AO500">
            <v>2893.44</v>
          </cell>
          <cell r="AP500">
            <v>2824.17</v>
          </cell>
          <cell r="AQ500">
            <v>9628.8799999999992</v>
          </cell>
          <cell r="AR500">
            <v>34812.6</v>
          </cell>
          <cell r="AS500">
            <v>954.37</v>
          </cell>
          <cell r="AT500">
            <v>2236.3000000000002</v>
          </cell>
          <cell r="AU500">
            <v>853.4</v>
          </cell>
          <cell r="AV500">
            <v>3680.24</v>
          </cell>
          <cell r="AW500">
            <v>53333.919999999998</v>
          </cell>
          <cell r="AX500">
            <v>6732</v>
          </cell>
          <cell r="AY500">
            <v>11203.38</v>
          </cell>
          <cell r="AZ500">
            <v>6994.68</v>
          </cell>
          <cell r="BA500">
            <v>16441.86</v>
          </cell>
          <cell r="BB500">
            <v>12338.16</v>
          </cell>
          <cell r="BC500">
            <v>11802.19</v>
          </cell>
          <cell r="BD500">
            <v>5186.45</v>
          </cell>
          <cell r="BE500">
            <v>14033.8</v>
          </cell>
          <cell r="BF500">
            <v>34868.31</v>
          </cell>
          <cell r="BG500">
            <v>40153.870000000003</v>
          </cell>
          <cell r="BH500">
            <v>1544.85</v>
          </cell>
          <cell r="BI500">
            <v>85427.54</v>
          </cell>
          <cell r="BJ500">
            <v>4277.55</v>
          </cell>
          <cell r="BK500">
            <v>58225.35</v>
          </cell>
          <cell r="BL500">
            <v>106902.33</v>
          </cell>
          <cell r="BM500">
            <v>1269.7</v>
          </cell>
          <cell r="BN500">
            <v>98.45</v>
          </cell>
          <cell r="BO500">
            <v>43793.62</v>
          </cell>
          <cell r="BP500">
            <v>23496.26</v>
          </cell>
          <cell r="BQ500">
            <v>17213.84</v>
          </cell>
          <cell r="BR500">
            <v>18009.009999999998</v>
          </cell>
          <cell r="BS500">
            <v>4101.93</v>
          </cell>
          <cell r="BT500">
            <v>6361.54</v>
          </cell>
          <cell r="BU500">
            <v>35155.269999999997</v>
          </cell>
          <cell r="BV500">
            <v>23118.73</v>
          </cell>
          <cell r="BW500">
            <v>110584.9</v>
          </cell>
          <cell r="BX500">
            <v>9277.1299999999992</v>
          </cell>
          <cell r="BY500">
            <v>13165.02</v>
          </cell>
          <cell r="BZ500">
            <v>24370.38</v>
          </cell>
          <cell r="CA500">
            <v>9991.09</v>
          </cell>
          <cell r="CB500">
            <v>48436.26</v>
          </cell>
          <cell r="CC500">
            <v>3139.06</v>
          </cell>
          <cell r="CD500">
            <v>65942.929999999993</v>
          </cell>
          <cell r="CE500">
            <v>27408.5</v>
          </cell>
          <cell r="CF500">
            <v>90380.9</v>
          </cell>
          <cell r="CG500">
            <v>112477.75999999999</v>
          </cell>
          <cell r="CH500">
            <v>146955.43</v>
          </cell>
          <cell r="CI500">
            <v>83072.44</v>
          </cell>
          <cell r="CJ500">
            <v>3782.12</v>
          </cell>
          <cell r="CK500">
            <v>52020.12</v>
          </cell>
          <cell r="CL500">
            <v>125905.44</v>
          </cell>
          <cell r="CM500">
            <v>62491.06</v>
          </cell>
          <cell r="CN500">
            <v>68958.42</v>
          </cell>
          <cell r="CO500">
            <v>141528.73000000001</v>
          </cell>
          <cell r="CP500">
            <v>5260.29</v>
          </cell>
          <cell r="CQ500">
            <v>39060.76</v>
          </cell>
          <cell r="CR500">
            <v>46650.48</v>
          </cell>
          <cell r="CS500">
            <v>25227.43</v>
          </cell>
          <cell r="CT500">
            <v>142323.79</v>
          </cell>
          <cell r="CU500">
            <v>140501.51</v>
          </cell>
          <cell r="CV500">
            <v>80608.37</v>
          </cell>
          <cell r="CW500">
            <v>52031.13</v>
          </cell>
          <cell r="CX500">
            <v>104913.61</v>
          </cell>
          <cell r="CY500">
            <v>60448.84</v>
          </cell>
          <cell r="CZ500">
            <v>31967.759999999998</v>
          </cell>
          <cell r="DA500">
            <v>132321.10999999999</v>
          </cell>
          <cell r="DB500">
            <v>164079.03</v>
          </cell>
          <cell r="DC500">
            <v>107717.23</v>
          </cell>
          <cell r="DD500">
            <v>27355.67</v>
          </cell>
          <cell r="DE500">
            <v>83929.15</v>
          </cell>
          <cell r="DF500">
            <v>93002.22</v>
          </cell>
          <cell r="DG500">
            <v>110840.94</v>
          </cell>
          <cell r="DH500">
            <v>1049215.06</v>
          </cell>
        </row>
        <row r="501">
          <cell r="A501" t="str">
            <v>9160</v>
          </cell>
          <cell r="D501">
            <v>0</v>
          </cell>
          <cell r="E501">
            <v>500</v>
          </cell>
          <cell r="F501">
            <v>250</v>
          </cell>
          <cell r="G501">
            <v>0</v>
          </cell>
          <cell r="H501">
            <v>250</v>
          </cell>
          <cell r="I501">
            <v>250</v>
          </cell>
          <cell r="J501">
            <v>0</v>
          </cell>
          <cell r="K501">
            <v>11100</v>
          </cell>
          <cell r="L501">
            <v>0</v>
          </cell>
          <cell r="M501">
            <v>0</v>
          </cell>
          <cell r="N501">
            <v>36148</v>
          </cell>
          <cell r="O501">
            <v>28611.1</v>
          </cell>
          <cell r="P501">
            <v>17506.599999999999</v>
          </cell>
          <cell r="Q501">
            <v>9550</v>
          </cell>
          <cell r="R501">
            <v>15377.12</v>
          </cell>
          <cell r="S501">
            <v>0</v>
          </cell>
          <cell r="T501">
            <v>2443.85</v>
          </cell>
          <cell r="U501">
            <v>19126.5</v>
          </cell>
          <cell r="V501">
            <v>34095.980000000003</v>
          </cell>
          <cell r="W501">
            <v>11425.8</v>
          </cell>
          <cell r="X501">
            <v>19658.14</v>
          </cell>
          <cell r="Y501">
            <v>-8135.29</v>
          </cell>
          <cell r="Z501">
            <v>12650</v>
          </cell>
          <cell r="AA501">
            <v>0</v>
          </cell>
          <cell r="AB501">
            <v>0</v>
          </cell>
          <cell r="AC501">
            <v>22025</v>
          </cell>
          <cell r="AD501">
            <v>0</v>
          </cell>
          <cell r="AE501">
            <v>0</v>
          </cell>
          <cell r="AF501">
            <v>10575</v>
          </cell>
          <cell r="AG501">
            <v>0</v>
          </cell>
          <cell r="AH501">
            <v>14400</v>
          </cell>
          <cell r="AI501">
            <v>0</v>
          </cell>
          <cell r="AJ501">
            <v>0</v>
          </cell>
          <cell r="AK501">
            <v>16075</v>
          </cell>
          <cell r="AL501">
            <v>0</v>
          </cell>
          <cell r="AM501">
            <v>0</v>
          </cell>
          <cell r="AN501">
            <v>0</v>
          </cell>
          <cell r="AO501">
            <v>12675</v>
          </cell>
          <cell r="AP501">
            <v>0</v>
          </cell>
          <cell r="AQ501">
            <v>0</v>
          </cell>
          <cell r="AR501">
            <v>3525</v>
          </cell>
          <cell r="AS501">
            <v>0</v>
          </cell>
          <cell r="AT501">
            <v>0</v>
          </cell>
          <cell r="AU501">
            <v>16575</v>
          </cell>
          <cell r="AV501">
            <v>0</v>
          </cell>
          <cell r="AW501">
            <v>0</v>
          </cell>
          <cell r="AX501">
            <v>2175</v>
          </cell>
          <cell r="AY501">
            <v>0</v>
          </cell>
          <cell r="AZ501">
            <v>16975</v>
          </cell>
          <cell r="BA501">
            <v>0</v>
          </cell>
          <cell r="BB501">
            <v>0</v>
          </cell>
          <cell r="BC501">
            <v>0</v>
          </cell>
          <cell r="BD501">
            <v>2725</v>
          </cell>
          <cell r="BE501">
            <v>0</v>
          </cell>
          <cell r="BF501">
            <v>19875</v>
          </cell>
          <cell r="BG501">
            <v>0</v>
          </cell>
          <cell r="BH501">
            <v>0</v>
          </cell>
          <cell r="BI501">
            <v>0</v>
          </cell>
          <cell r="BJ501">
            <v>12450</v>
          </cell>
          <cell r="BK501">
            <v>0</v>
          </cell>
          <cell r="BL501">
            <v>0</v>
          </cell>
          <cell r="BM501">
            <v>17725</v>
          </cell>
          <cell r="BN501">
            <v>0</v>
          </cell>
          <cell r="BO501">
            <v>0</v>
          </cell>
          <cell r="BP501">
            <v>8500</v>
          </cell>
          <cell r="BQ501">
            <v>0</v>
          </cell>
          <cell r="BR501">
            <v>0</v>
          </cell>
          <cell r="BS501">
            <v>0</v>
          </cell>
          <cell r="BT501">
            <v>0</v>
          </cell>
          <cell r="BU501">
            <v>0</v>
          </cell>
          <cell r="BV501">
            <v>29200</v>
          </cell>
          <cell r="BW501">
            <v>0</v>
          </cell>
          <cell r="BX501">
            <v>0</v>
          </cell>
          <cell r="BY501">
            <v>0</v>
          </cell>
          <cell r="BZ501">
            <v>0</v>
          </cell>
          <cell r="CA501">
            <v>0</v>
          </cell>
          <cell r="CB501">
            <v>27600</v>
          </cell>
          <cell r="CC501">
            <v>0</v>
          </cell>
          <cell r="CD501">
            <v>0</v>
          </cell>
          <cell r="CE501">
            <v>0</v>
          </cell>
          <cell r="CF501">
            <v>0</v>
          </cell>
          <cell r="CG501">
            <v>11100</v>
          </cell>
          <cell r="CH501">
            <v>0</v>
          </cell>
          <cell r="CI501">
            <v>10300</v>
          </cell>
          <cell r="CJ501">
            <v>0</v>
          </cell>
          <cell r="CK501">
            <v>0</v>
          </cell>
          <cell r="CL501">
            <v>0</v>
          </cell>
          <cell r="CM501">
            <v>20600</v>
          </cell>
          <cell r="CN501">
            <v>-20600</v>
          </cell>
          <cell r="CO501">
            <v>22500</v>
          </cell>
          <cell r="CP501">
            <v>0</v>
          </cell>
          <cell r="CQ501">
            <v>0</v>
          </cell>
          <cell r="CR501">
            <v>0</v>
          </cell>
          <cell r="CS501">
            <v>0</v>
          </cell>
          <cell r="CT501">
            <v>28675</v>
          </cell>
          <cell r="CU501">
            <v>0</v>
          </cell>
          <cell r="CV501">
            <v>0</v>
          </cell>
          <cell r="CW501">
            <v>0</v>
          </cell>
          <cell r="CX501">
            <v>0</v>
          </cell>
          <cell r="CY501">
            <v>0</v>
          </cell>
          <cell r="CZ501">
            <v>0</v>
          </cell>
          <cell r="DA501">
            <v>0</v>
          </cell>
          <cell r="DB501">
            <v>0</v>
          </cell>
          <cell r="DC501">
            <v>43550</v>
          </cell>
          <cell r="DD501">
            <v>0</v>
          </cell>
          <cell r="DE501">
            <v>0</v>
          </cell>
          <cell r="DF501">
            <v>0</v>
          </cell>
          <cell r="DG501">
            <v>0</v>
          </cell>
          <cell r="DH501">
            <v>43550</v>
          </cell>
        </row>
        <row r="502">
          <cell r="A502" t="str">
            <v>9200</v>
          </cell>
          <cell r="D502">
            <v>709827.98</v>
          </cell>
          <cell r="E502">
            <v>587596.49</v>
          </cell>
          <cell r="F502">
            <v>676997.6</v>
          </cell>
          <cell r="G502">
            <v>623103.31000000006</v>
          </cell>
          <cell r="H502">
            <v>680378.18</v>
          </cell>
          <cell r="I502">
            <v>653372.32999999996</v>
          </cell>
          <cell r="J502">
            <v>498664.24</v>
          </cell>
          <cell r="K502">
            <v>649425.64</v>
          </cell>
          <cell r="L502">
            <v>1419319.4</v>
          </cell>
          <cell r="M502">
            <v>646800.56000000006</v>
          </cell>
          <cell r="N502">
            <v>611600.29</v>
          </cell>
          <cell r="O502">
            <v>901810.84</v>
          </cell>
          <cell r="P502">
            <v>587250.09</v>
          </cell>
          <cell r="Q502">
            <v>308662.74</v>
          </cell>
          <cell r="R502">
            <v>1341619.1499999999</v>
          </cell>
          <cell r="S502">
            <v>735230.97</v>
          </cell>
          <cell r="T502">
            <v>432954.83</v>
          </cell>
          <cell r="U502">
            <v>696952.61</v>
          </cell>
          <cell r="V502">
            <v>485290.46</v>
          </cell>
          <cell r="W502">
            <v>592515.18999999994</v>
          </cell>
          <cell r="X502">
            <v>399157.01</v>
          </cell>
          <cell r="Y502">
            <v>574030.91</v>
          </cell>
          <cell r="Z502">
            <v>976613.53</v>
          </cell>
          <cell r="AA502">
            <v>-297100.78999999998</v>
          </cell>
          <cell r="AB502">
            <v>631762.57999999996</v>
          </cell>
          <cell r="AC502">
            <v>656898.16</v>
          </cell>
          <cell r="AD502">
            <v>653428.94999999995</v>
          </cell>
          <cell r="AE502">
            <v>640525.73</v>
          </cell>
          <cell r="AF502">
            <v>676655.17</v>
          </cell>
          <cell r="AG502">
            <v>667428.43999999994</v>
          </cell>
          <cell r="AH502">
            <v>934298.38</v>
          </cell>
          <cell r="AI502">
            <v>1518779.04</v>
          </cell>
          <cell r="AJ502">
            <v>774625.04</v>
          </cell>
          <cell r="AK502">
            <v>688256.28</v>
          </cell>
          <cell r="AL502">
            <v>86996.88</v>
          </cell>
          <cell r="AM502">
            <v>749314.46</v>
          </cell>
          <cell r="AN502">
            <v>760895.8</v>
          </cell>
          <cell r="AO502">
            <v>857574.56</v>
          </cell>
          <cell r="AP502">
            <v>883229.59</v>
          </cell>
          <cell r="AQ502">
            <v>700022.15</v>
          </cell>
          <cell r="AR502">
            <v>697333.38</v>
          </cell>
          <cell r="AS502">
            <v>794815.34</v>
          </cell>
          <cell r="AT502">
            <v>750026.93</v>
          </cell>
          <cell r="AU502">
            <v>737068.59</v>
          </cell>
          <cell r="AV502">
            <v>808648.29</v>
          </cell>
          <cell r="AW502">
            <v>550594.72</v>
          </cell>
          <cell r="AX502">
            <v>747251.16</v>
          </cell>
          <cell r="AY502">
            <v>1025566.84</v>
          </cell>
          <cell r="AZ502">
            <v>908688.69</v>
          </cell>
          <cell r="BA502">
            <v>1490509.19</v>
          </cell>
          <cell r="BB502">
            <v>864089.22</v>
          </cell>
          <cell r="BC502">
            <v>844326.67</v>
          </cell>
          <cell r="BD502">
            <v>897234.63</v>
          </cell>
          <cell r="BE502">
            <v>830461.21</v>
          </cell>
          <cell r="BF502">
            <v>1013182.59</v>
          </cell>
          <cell r="BG502">
            <v>1283278.8500000001</v>
          </cell>
          <cell r="BH502">
            <v>952882.8</v>
          </cell>
          <cell r="BI502">
            <v>972327.84</v>
          </cell>
          <cell r="BJ502">
            <v>948368.73</v>
          </cell>
          <cell r="BK502">
            <v>970596.8</v>
          </cell>
          <cell r="BL502">
            <v>995053.96</v>
          </cell>
          <cell r="BM502">
            <v>910602.55</v>
          </cell>
          <cell r="BN502">
            <v>805516.37</v>
          </cell>
          <cell r="BO502">
            <v>807815.54</v>
          </cell>
          <cell r="BP502">
            <v>816530.53</v>
          </cell>
          <cell r="BQ502">
            <v>693289.06</v>
          </cell>
          <cell r="BR502">
            <v>874839.19</v>
          </cell>
          <cell r="BS502">
            <v>779159.06</v>
          </cell>
          <cell r="BT502">
            <v>954094.15</v>
          </cell>
          <cell r="BU502">
            <v>884054.91</v>
          </cell>
          <cell r="BV502">
            <v>1554637.35</v>
          </cell>
          <cell r="BW502">
            <v>894578.45</v>
          </cell>
          <cell r="BX502">
            <v>1058130.33</v>
          </cell>
          <cell r="BY502">
            <v>1072058.8400000001</v>
          </cell>
          <cell r="BZ502">
            <v>935010</v>
          </cell>
          <cell r="CA502">
            <v>1070392.73</v>
          </cell>
          <cell r="CB502">
            <v>995156.34</v>
          </cell>
          <cell r="CC502">
            <v>849296.17</v>
          </cell>
          <cell r="CD502">
            <v>1066255.27</v>
          </cell>
          <cell r="CE502">
            <v>986242.23</v>
          </cell>
          <cell r="CF502">
            <v>1328803.05</v>
          </cell>
          <cell r="CG502">
            <v>1039234.11</v>
          </cell>
          <cell r="CH502">
            <v>959681.67</v>
          </cell>
          <cell r="CI502">
            <v>1328159.71</v>
          </cell>
          <cell r="CJ502">
            <v>1004572.71</v>
          </cell>
          <cell r="CK502">
            <v>977357.03</v>
          </cell>
          <cell r="CL502">
            <v>1042807.17</v>
          </cell>
          <cell r="CM502">
            <v>915360.12</v>
          </cell>
          <cell r="CN502">
            <v>895661.58</v>
          </cell>
          <cell r="CO502">
            <v>979919.17</v>
          </cell>
          <cell r="CP502">
            <v>1017848.3199999999</v>
          </cell>
          <cell r="CQ502">
            <v>1023401.95</v>
          </cell>
          <cell r="CR502">
            <v>1066319.74</v>
          </cell>
          <cell r="CS502">
            <v>1640563.46</v>
          </cell>
          <cell r="CT502">
            <v>998250.5</v>
          </cell>
          <cell r="CU502">
            <v>2402127.38</v>
          </cell>
          <cell r="CV502">
            <v>1102180.1200000001</v>
          </cell>
          <cell r="CW502">
            <v>1221268.48</v>
          </cell>
          <cell r="CX502">
            <v>757799.25</v>
          </cell>
          <cell r="CY502">
            <v>1271543.53</v>
          </cell>
          <cell r="CZ502">
            <v>1359113.97</v>
          </cell>
          <cell r="DA502">
            <v>1359973.16</v>
          </cell>
          <cell r="DB502">
            <v>1331306.8</v>
          </cell>
          <cell r="DC502">
            <v>1449477.95</v>
          </cell>
          <cell r="DD502">
            <v>1541674.51</v>
          </cell>
          <cell r="DE502">
            <v>1564162.7</v>
          </cell>
          <cell r="DF502">
            <v>2116644.4700000002</v>
          </cell>
          <cell r="DG502">
            <v>1992376.63</v>
          </cell>
          <cell r="DH502">
            <v>17067521.57</v>
          </cell>
        </row>
        <row r="503">
          <cell r="A503" t="str">
            <v>9210</v>
          </cell>
          <cell r="D503">
            <v>363875.85</v>
          </cell>
          <cell r="E503">
            <v>603826.52</v>
          </cell>
          <cell r="F503">
            <v>427425.74</v>
          </cell>
          <cell r="G503">
            <v>418349.83</v>
          </cell>
          <cell r="H503">
            <v>517789.19</v>
          </cell>
          <cell r="I503">
            <v>395474.12</v>
          </cell>
          <cell r="J503">
            <v>468162.52</v>
          </cell>
          <cell r="K503">
            <v>385028.4</v>
          </cell>
          <cell r="L503">
            <v>418928.27</v>
          </cell>
          <cell r="M503">
            <v>438556.66</v>
          </cell>
          <cell r="N503">
            <v>684302.98</v>
          </cell>
          <cell r="O503">
            <v>217500.46</v>
          </cell>
          <cell r="P503">
            <v>203507.23</v>
          </cell>
          <cell r="Q503">
            <v>203762.69</v>
          </cell>
          <cell r="R503">
            <v>280010.93</v>
          </cell>
          <cell r="S503">
            <v>308111.83</v>
          </cell>
          <cell r="T503">
            <v>256234.02</v>
          </cell>
          <cell r="U503">
            <v>291099.84999999998</v>
          </cell>
          <cell r="V503">
            <v>298615.61</v>
          </cell>
          <cell r="W503">
            <v>229026.97</v>
          </cell>
          <cell r="X503">
            <v>302738.45</v>
          </cell>
          <cell r="Y503">
            <v>327872.05</v>
          </cell>
          <cell r="Z503">
            <v>250611.8</v>
          </cell>
          <cell r="AA503">
            <v>376473.65</v>
          </cell>
          <cell r="AB503">
            <v>220904.92</v>
          </cell>
          <cell r="AC503">
            <v>282608.25</v>
          </cell>
          <cell r="AD503">
            <v>286593.46999999997</v>
          </cell>
          <cell r="AE503">
            <v>306747.11</v>
          </cell>
          <cell r="AF503">
            <v>263956.84999999998</v>
          </cell>
          <cell r="AG503">
            <v>731422.23</v>
          </cell>
          <cell r="AH503">
            <v>153401.91</v>
          </cell>
          <cell r="AI503">
            <v>257145.29</v>
          </cell>
          <cell r="AJ503">
            <v>291669.49</v>
          </cell>
          <cell r="AK503">
            <v>255536.96</v>
          </cell>
          <cell r="AL503">
            <v>333344.98</v>
          </cell>
          <cell r="AM503">
            <v>250327.56</v>
          </cell>
          <cell r="AN503">
            <v>209057.28</v>
          </cell>
          <cell r="AO503">
            <v>268049.59000000003</v>
          </cell>
          <cell r="AP503">
            <v>262533.75</v>
          </cell>
          <cell r="AQ503">
            <v>237740.05</v>
          </cell>
          <cell r="AR503">
            <v>258066.99</v>
          </cell>
          <cell r="AS503">
            <v>271435.05</v>
          </cell>
          <cell r="AT503">
            <v>266938.18</v>
          </cell>
          <cell r="AU503">
            <v>227603.78</v>
          </cell>
          <cell r="AV503">
            <v>245699.71</v>
          </cell>
          <cell r="AW503">
            <v>194365.76</v>
          </cell>
          <cell r="AX503">
            <v>234204.99</v>
          </cell>
          <cell r="AY503">
            <v>272833.43</v>
          </cell>
          <cell r="AZ503">
            <v>224016.05</v>
          </cell>
          <cell r="BA503">
            <v>219951.77</v>
          </cell>
          <cell r="BB503">
            <v>530410.19999999995</v>
          </cell>
          <cell r="BC503">
            <v>360142.33</v>
          </cell>
          <cell r="BD503">
            <v>336121.87</v>
          </cell>
          <cell r="BE503">
            <v>317413.67</v>
          </cell>
          <cell r="BF503">
            <v>316757.96999999997</v>
          </cell>
          <cell r="BG503">
            <v>291881.81</v>
          </cell>
          <cell r="BH503">
            <v>351613.49</v>
          </cell>
          <cell r="BI503">
            <v>297442.55</v>
          </cell>
          <cell r="BJ503">
            <v>245504.16</v>
          </cell>
          <cell r="BK503">
            <v>345561.36</v>
          </cell>
          <cell r="BL503">
            <v>230705.48</v>
          </cell>
          <cell r="BM503">
            <v>246616.22</v>
          </cell>
          <cell r="BN503">
            <v>308916.02</v>
          </cell>
          <cell r="BO503">
            <v>264092.74</v>
          </cell>
          <cell r="BP503">
            <v>272126.78000000003</v>
          </cell>
          <cell r="BQ503">
            <v>293846.84000000003</v>
          </cell>
          <cell r="BR503">
            <v>306117.46000000002</v>
          </cell>
          <cell r="BS503">
            <v>116371.23</v>
          </cell>
          <cell r="BT503">
            <v>271880.71000000002</v>
          </cell>
          <cell r="BU503">
            <v>458934.79</v>
          </cell>
          <cell r="BV503">
            <v>260146.44</v>
          </cell>
          <cell r="BW503">
            <v>290903.67</v>
          </cell>
          <cell r="BX503">
            <v>216415.28</v>
          </cell>
          <cell r="BY503">
            <v>289037.84999999998</v>
          </cell>
          <cell r="BZ503">
            <v>284644.52</v>
          </cell>
          <cell r="CA503">
            <v>245920.34</v>
          </cell>
          <cell r="CB503">
            <v>205111.33</v>
          </cell>
          <cell r="CC503">
            <v>252122.44</v>
          </cell>
          <cell r="CD503">
            <v>232946.9</v>
          </cell>
          <cell r="CE503">
            <v>216202.83</v>
          </cell>
          <cell r="CF503">
            <v>264171.5</v>
          </cell>
          <cell r="CG503">
            <v>227711.32</v>
          </cell>
          <cell r="CH503">
            <v>190636.9</v>
          </cell>
          <cell r="CI503">
            <v>316571.55</v>
          </cell>
          <cell r="CJ503">
            <v>199224.66</v>
          </cell>
          <cell r="CK503">
            <v>259472.02</v>
          </cell>
          <cell r="CL503">
            <v>274165.56</v>
          </cell>
          <cell r="CM503">
            <v>267380.99</v>
          </cell>
          <cell r="CN503">
            <v>223369.9</v>
          </cell>
          <cell r="CO503">
            <v>258321.9</v>
          </cell>
          <cell r="CP503">
            <v>281977.74</v>
          </cell>
          <cell r="CQ503">
            <v>255550.72</v>
          </cell>
          <cell r="CR503">
            <v>297271.09999999998</v>
          </cell>
          <cell r="CS503">
            <v>270208.21999999997</v>
          </cell>
          <cell r="CT503">
            <v>292682.68</v>
          </cell>
          <cell r="CU503">
            <v>406871.32</v>
          </cell>
          <cell r="CV503">
            <v>237044.43</v>
          </cell>
          <cell r="CW503">
            <v>287604.81</v>
          </cell>
          <cell r="CX503">
            <v>284042.76</v>
          </cell>
          <cell r="CY503">
            <v>327735.83</v>
          </cell>
          <cell r="CZ503">
            <v>324241.02</v>
          </cell>
          <cell r="DA503">
            <v>220143.92</v>
          </cell>
          <cell r="DB503">
            <v>337867.4</v>
          </cell>
          <cell r="DC503">
            <v>339694.26</v>
          </cell>
          <cell r="DD503">
            <v>352211.65</v>
          </cell>
          <cell r="DE503">
            <v>306180.87</v>
          </cell>
          <cell r="DF503">
            <v>281672.39</v>
          </cell>
          <cell r="DG503">
            <v>362283.43</v>
          </cell>
          <cell r="DH503">
            <v>3660722.77</v>
          </cell>
        </row>
        <row r="504">
          <cell r="A504" t="str">
            <v>9220</v>
          </cell>
          <cell r="D504">
            <v>-321333</v>
          </cell>
          <cell r="E504">
            <v>-321333</v>
          </cell>
          <cell r="F504">
            <v>-321333</v>
          </cell>
          <cell r="G504">
            <v>-321333</v>
          </cell>
          <cell r="H504">
            <v>-321333</v>
          </cell>
          <cell r="I504">
            <v>-321333</v>
          </cell>
          <cell r="J504">
            <v>-321333</v>
          </cell>
          <cell r="K504">
            <v>-321333</v>
          </cell>
          <cell r="L504">
            <v>-321333</v>
          </cell>
          <cell r="M504">
            <v>-321333</v>
          </cell>
          <cell r="N504">
            <v>-321333</v>
          </cell>
          <cell r="O504">
            <v>-321333</v>
          </cell>
          <cell r="P504">
            <v>-283333</v>
          </cell>
          <cell r="Q504">
            <v>-283333</v>
          </cell>
          <cell r="R504">
            <v>-283333</v>
          </cell>
          <cell r="S504">
            <v>-283333</v>
          </cell>
          <cell r="T504">
            <v>-283333</v>
          </cell>
          <cell r="U504">
            <v>-283333</v>
          </cell>
          <cell r="V504">
            <v>-283333</v>
          </cell>
          <cell r="W504">
            <v>-283333</v>
          </cell>
          <cell r="X504">
            <v>-283333</v>
          </cell>
          <cell r="Y504">
            <v>-283333</v>
          </cell>
          <cell r="Z504">
            <v>-283333</v>
          </cell>
          <cell r="AA504">
            <v>-283333</v>
          </cell>
          <cell r="AB504">
            <v>-283333</v>
          </cell>
          <cell r="AC504">
            <v>-283333</v>
          </cell>
          <cell r="AD504">
            <v>-283333</v>
          </cell>
          <cell r="AE504">
            <v>-283333</v>
          </cell>
          <cell r="AF504">
            <v>-283333</v>
          </cell>
          <cell r="AG504">
            <v>-283333</v>
          </cell>
          <cell r="AH504">
            <v>-283333</v>
          </cell>
          <cell r="AI504">
            <v>-283333</v>
          </cell>
          <cell r="AJ504">
            <v>-283333</v>
          </cell>
          <cell r="AK504">
            <v>-283333</v>
          </cell>
          <cell r="AL504">
            <v>-283333</v>
          </cell>
          <cell r="AM504">
            <v>-283333</v>
          </cell>
          <cell r="AN504">
            <v>-283333</v>
          </cell>
          <cell r="AO504">
            <v>-283333</v>
          </cell>
          <cell r="AP504">
            <v>-283333</v>
          </cell>
          <cell r="AQ504">
            <v>-283333</v>
          </cell>
          <cell r="AR504">
            <v>-283333</v>
          </cell>
          <cell r="AS504">
            <v>-283333</v>
          </cell>
          <cell r="AT504">
            <v>-500000</v>
          </cell>
          <cell r="AU504">
            <v>-500000</v>
          </cell>
          <cell r="AV504">
            <v>-500000</v>
          </cell>
          <cell r="AW504">
            <v>-500000</v>
          </cell>
          <cell r="AX504">
            <v>-500000</v>
          </cell>
          <cell r="AY504">
            <v>-500000</v>
          </cell>
          <cell r="AZ504">
            <v>-500000</v>
          </cell>
          <cell r="BA504">
            <v>-500000</v>
          </cell>
          <cell r="BB504">
            <v>-500000</v>
          </cell>
          <cell r="BC504">
            <v>-500000</v>
          </cell>
          <cell r="BD504">
            <v>-500000</v>
          </cell>
          <cell r="BE504">
            <v>-500000</v>
          </cell>
          <cell r="BF504">
            <v>-500000</v>
          </cell>
          <cell r="BG504">
            <v>-500000</v>
          </cell>
          <cell r="BH504">
            <v>-500000</v>
          </cell>
          <cell r="BI504">
            <v>-500000</v>
          </cell>
          <cell r="BJ504">
            <v>-500000</v>
          </cell>
          <cell r="BK504">
            <v>-500000</v>
          </cell>
          <cell r="BL504">
            <v>-500000</v>
          </cell>
          <cell r="BM504">
            <v>-500000</v>
          </cell>
          <cell r="BN504">
            <v>-1000000</v>
          </cell>
          <cell r="BO504">
            <v>-666666.67000000004</v>
          </cell>
          <cell r="BP504">
            <v>-666666.67000000004</v>
          </cell>
          <cell r="BQ504">
            <v>-666666.67000000004</v>
          </cell>
          <cell r="BR504">
            <v>-666666.67000000004</v>
          </cell>
          <cell r="BS504">
            <v>-666666.67000000004</v>
          </cell>
          <cell r="BT504">
            <v>-666666.67000000004</v>
          </cell>
          <cell r="BU504">
            <v>-666666.67000000004</v>
          </cell>
          <cell r="BV504">
            <v>-666666.67000000004</v>
          </cell>
          <cell r="BW504">
            <v>-1047666.63</v>
          </cell>
          <cell r="BX504">
            <v>-715750</v>
          </cell>
          <cell r="BY504">
            <v>-715750</v>
          </cell>
          <cell r="BZ504">
            <v>-715750</v>
          </cell>
          <cell r="CA504">
            <v>-715750</v>
          </cell>
          <cell r="CB504">
            <v>-715750</v>
          </cell>
          <cell r="CC504">
            <v>-715750</v>
          </cell>
          <cell r="CD504">
            <v>-715750</v>
          </cell>
          <cell r="CE504">
            <v>-715750</v>
          </cell>
          <cell r="CF504">
            <v>-715750</v>
          </cell>
          <cell r="CG504">
            <v>-715750</v>
          </cell>
          <cell r="CH504">
            <v>-715750</v>
          </cell>
          <cell r="CI504">
            <v>-715749.96</v>
          </cell>
          <cell r="CJ504">
            <v>-716829.63</v>
          </cell>
          <cell r="CK504">
            <v>-716829.63</v>
          </cell>
          <cell r="CL504">
            <v>-716829.63</v>
          </cell>
          <cell r="CM504">
            <v>-716829.67</v>
          </cell>
          <cell r="CN504">
            <v>-716829.67</v>
          </cell>
          <cell r="CO504">
            <v>-988351.67</v>
          </cell>
          <cell r="CP504">
            <v>-762083.67</v>
          </cell>
          <cell r="CQ504">
            <v>-762083.67</v>
          </cell>
          <cell r="CR504">
            <v>-762083.67</v>
          </cell>
          <cell r="CS504">
            <v>-762083.67</v>
          </cell>
          <cell r="CT504">
            <v>-1678750.37</v>
          </cell>
          <cell r="CU504">
            <v>-845417</v>
          </cell>
          <cell r="CV504">
            <v>-928750.37</v>
          </cell>
          <cell r="CW504">
            <v>-928750.37</v>
          </cell>
          <cell r="CX504">
            <v>-928750.3</v>
          </cell>
          <cell r="CY504">
            <v>-928750.3</v>
          </cell>
          <cell r="CZ504">
            <v>-928750.33</v>
          </cell>
          <cell r="DA504">
            <v>-928750.33</v>
          </cell>
          <cell r="DB504">
            <v>-928750.33</v>
          </cell>
          <cell r="DC504">
            <v>-928750.33</v>
          </cell>
          <cell r="DD504">
            <v>-928750.33</v>
          </cell>
          <cell r="DE504">
            <v>-928750.33</v>
          </cell>
          <cell r="DF504">
            <v>-1512836.33</v>
          </cell>
          <cell r="DG504">
            <v>-1981848.36</v>
          </cell>
          <cell r="DH504">
            <v>-12782188.01</v>
          </cell>
        </row>
        <row r="505">
          <cell r="A505" t="str">
            <v>9230</v>
          </cell>
          <cell r="D505">
            <v>24014.77</v>
          </cell>
          <cell r="E505">
            <v>39565.94</v>
          </cell>
          <cell r="F505">
            <v>49725.87</v>
          </cell>
          <cell r="G505">
            <v>144699.66</v>
          </cell>
          <cell r="H505">
            <v>134897.62</v>
          </cell>
          <cell r="I505">
            <v>137187.57999999999</v>
          </cell>
          <cell r="J505">
            <v>109192.98</v>
          </cell>
          <cell r="K505">
            <v>-86175.97</v>
          </cell>
          <cell r="L505">
            <v>167710.26</v>
          </cell>
          <cell r="M505">
            <v>74692.95</v>
          </cell>
          <cell r="N505">
            <v>97003.03</v>
          </cell>
          <cell r="O505">
            <v>189445.91</v>
          </cell>
          <cell r="P505">
            <v>133751.65</v>
          </cell>
          <cell r="Q505">
            <v>120863.16</v>
          </cell>
          <cell r="R505">
            <v>170421.15</v>
          </cell>
          <cell r="S505">
            <v>194746.89</v>
          </cell>
          <cell r="T505">
            <v>139499.37</v>
          </cell>
          <cell r="U505">
            <v>165314.73000000001</v>
          </cell>
          <cell r="V505">
            <v>192337.66</v>
          </cell>
          <cell r="W505">
            <v>238131.78</v>
          </cell>
          <cell r="X505">
            <v>150941.44</v>
          </cell>
          <cell r="Y505">
            <v>183818.25</v>
          </cell>
          <cell r="Z505">
            <v>309360.78999999998</v>
          </cell>
          <cell r="AA505">
            <v>567804.03</v>
          </cell>
          <cell r="AB505">
            <v>88623.51</v>
          </cell>
          <cell r="AC505">
            <v>374307.21</v>
          </cell>
          <cell r="AD505">
            <v>237715.8</v>
          </cell>
          <cell r="AE505">
            <v>233130.37</v>
          </cell>
          <cell r="AF505">
            <v>187723.53</v>
          </cell>
          <cell r="AG505">
            <v>285838.36</v>
          </cell>
          <cell r="AH505">
            <v>228908.86</v>
          </cell>
          <cell r="AI505">
            <v>133021.95000000001</v>
          </cell>
          <cell r="AJ505">
            <v>117283.72</v>
          </cell>
          <cell r="AK505">
            <v>176993.06</v>
          </cell>
          <cell r="AL505">
            <v>501039.22</v>
          </cell>
          <cell r="AM505">
            <v>530667.21</v>
          </cell>
          <cell r="AN505">
            <v>29651.99</v>
          </cell>
          <cell r="AO505">
            <v>116264.99</v>
          </cell>
          <cell r="AP505">
            <v>147425.94</v>
          </cell>
          <cell r="AQ505">
            <v>276266.61</v>
          </cell>
          <cell r="AR505">
            <v>173152.4</v>
          </cell>
          <cell r="AS505">
            <v>56295.57</v>
          </cell>
          <cell r="AT505">
            <v>114709.43</v>
          </cell>
          <cell r="AU505">
            <v>275197.34999999998</v>
          </cell>
          <cell r="AV505">
            <v>13545.85</v>
          </cell>
          <cell r="AW505">
            <v>131872.09</v>
          </cell>
          <cell r="AX505">
            <v>114201.33</v>
          </cell>
          <cell r="AY505">
            <v>339902.34</v>
          </cell>
          <cell r="AZ505">
            <v>44949.32</v>
          </cell>
          <cell r="BA505">
            <v>38349.89</v>
          </cell>
          <cell r="BB505">
            <v>206445.71</v>
          </cell>
          <cell r="BC505">
            <v>271415.38</v>
          </cell>
          <cell r="BD505">
            <v>299022.55</v>
          </cell>
          <cell r="BE505">
            <v>185666.12</v>
          </cell>
          <cell r="BF505">
            <v>155535.28</v>
          </cell>
          <cell r="BG505">
            <v>173393.67</v>
          </cell>
          <cell r="BH505">
            <v>130529.78</v>
          </cell>
          <cell r="BI505">
            <v>282663.07</v>
          </cell>
          <cell r="BJ505">
            <v>143901.29999999999</v>
          </cell>
          <cell r="BK505">
            <v>284170.84999999998</v>
          </cell>
          <cell r="BL505">
            <v>522.70000000000005</v>
          </cell>
          <cell r="BM505">
            <v>175594.18</v>
          </cell>
          <cell r="BN505">
            <v>207500.34</v>
          </cell>
          <cell r="BO505">
            <v>140022.29</v>
          </cell>
          <cell r="BP505">
            <v>276403.43</v>
          </cell>
          <cell r="BQ505">
            <v>137380.39000000001</v>
          </cell>
          <cell r="BR505">
            <v>238260.53</v>
          </cell>
          <cell r="BS505">
            <v>136181.56</v>
          </cell>
          <cell r="BT505">
            <v>184541.45</v>
          </cell>
          <cell r="BU505">
            <v>286366.3</v>
          </cell>
          <cell r="BV505">
            <v>367110.88</v>
          </cell>
          <cell r="BW505">
            <v>343091.24</v>
          </cell>
          <cell r="BX505">
            <v>98865.03</v>
          </cell>
          <cell r="BY505">
            <v>43717.84</v>
          </cell>
          <cell r="BZ505">
            <v>821049.17</v>
          </cell>
          <cell r="CA505">
            <v>-69258.289999999994</v>
          </cell>
          <cell r="CB505">
            <v>184633.57</v>
          </cell>
          <cell r="CC505">
            <v>361386.11</v>
          </cell>
          <cell r="CD505">
            <v>145975.93</v>
          </cell>
          <cell r="CE505">
            <v>129602.64</v>
          </cell>
          <cell r="CF505">
            <v>155441.84</v>
          </cell>
          <cell r="CG505">
            <v>213753.31</v>
          </cell>
          <cell r="CH505">
            <v>142907.10999999999</v>
          </cell>
          <cell r="CI505">
            <v>99204.78</v>
          </cell>
          <cell r="CJ505">
            <v>126124.36</v>
          </cell>
          <cell r="CK505">
            <v>35010.19</v>
          </cell>
          <cell r="CL505">
            <v>239795.24</v>
          </cell>
          <cell r="CM505">
            <v>176391.86</v>
          </cell>
          <cell r="CN505">
            <v>169357.84</v>
          </cell>
          <cell r="CO505">
            <v>223633.18</v>
          </cell>
          <cell r="CP505">
            <v>200492.17</v>
          </cell>
          <cell r="CQ505">
            <v>120743.92</v>
          </cell>
          <cell r="CR505">
            <v>335522.96999999997</v>
          </cell>
          <cell r="CS505">
            <v>147099.53</v>
          </cell>
          <cell r="CT505">
            <v>120499.74</v>
          </cell>
          <cell r="CU505">
            <v>789810.57</v>
          </cell>
          <cell r="CV505">
            <v>28124.6</v>
          </cell>
          <cell r="CW505">
            <v>272287.74</v>
          </cell>
          <cell r="CX505">
            <v>366012.11</v>
          </cell>
          <cell r="CY505">
            <v>466589.77</v>
          </cell>
          <cell r="CZ505">
            <v>658167.25</v>
          </cell>
          <cell r="DA505">
            <v>396320.9</v>
          </cell>
          <cell r="DB505">
            <v>439896.05</v>
          </cell>
          <cell r="DC505">
            <v>374419.74</v>
          </cell>
          <cell r="DD505">
            <v>466198.69</v>
          </cell>
          <cell r="DE505">
            <v>409895.53</v>
          </cell>
          <cell r="DF505">
            <v>226388.35</v>
          </cell>
          <cell r="DG505">
            <v>794417.12</v>
          </cell>
          <cell r="DH505">
            <v>4898717.8499999996</v>
          </cell>
        </row>
        <row r="506">
          <cell r="A506" t="str">
            <v>9240</v>
          </cell>
          <cell r="D506">
            <v>12847.35</v>
          </cell>
          <cell r="E506">
            <v>12847.35</v>
          </cell>
          <cell r="F506">
            <v>12847.35</v>
          </cell>
          <cell r="G506">
            <v>13836.8</v>
          </cell>
          <cell r="H506">
            <v>12432.92</v>
          </cell>
          <cell r="I506">
            <v>12432.92</v>
          </cell>
          <cell r="J506">
            <v>12342.64</v>
          </cell>
          <cell r="K506">
            <v>12444.22</v>
          </cell>
          <cell r="L506">
            <v>12363.09</v>
          </cell>
          <cell r="M506">
            <v>12430.7</v>
          </cell>
          <cell r="N506">
            <v>12430.7</v>
          </cell>
          <cell r="O506">
            <v>12430.7</v>
          </cell>
          <cell r="P506">
            <v>12430.7</v>
          </cell>
          <cell r="Q506">
            <v>12430.7</v>
          </cell>
          <cell r="R506">
            <v>12394.7</v>
          </cell>
          <cell r="S506">
            <v>12430.7</v>
          </cell>
          <cell r="T506">
            <v>10111.280000000001</v>
          </cell>
          <cell r="U506">
            <v>10847.27</v>
          </cell>
          <cell r="V506">
            <v>10847.27</v>
          </cell>
          <cell r="W506">
            <v>10847.27</v>
          </cell>
          <cell r="X506">
            <v>10847.27</v>
          </cell>
          <cell r="Y506">
            <v>10847.27</v>
          </cell>
          <cell r="Z506">
            <v>10847.27</v>
          </cell>
          <cell r="AA506">
            <v>10847.27</v>
          </cell>
          <cell r="AB506">
            <v>10797.27</v>
          </cell>
          <cell r="AC506">
            <v>10824.57</v>
          </cell>
          <cell r="AD506">
            <v>10847.25</v>
          </cell>
          <cell r="AE506">
            <v>10153.23</v>
          </cell>
          <cell r="AF506">
            <v>10175.23</v>
          </cell>
          <cell r="AG506">
            <v>10175.23</v>
          </cell>
          <cell r="AH506">
            <v>10175.23</v>
          </cell>
          <cell r="AI506">
            <v>10175.23</v>
          </cell>
          <cell r="AJ506">
            <v>10175.23</v>
          </cell>
          <cell r="AK506">
            <v>10175.23</v>
          </cell>
          <cell r="AL506">
            <v>10175.23</v>
          </cell>
          <cell r="AM506">
            <v>10175.23</v>
          </cell>
          <cell r="AN506">
            <v>10175.23</v>
          </cell>
          <cell r="AO506">
            <v>10175.23</v>
          </cell>
          <cell r="AP506">
            <v>8660.81</v>
          </cell>
          <cell r="AQ506">
            <v>8020.49</v>
          </cell>
          <cell r="AR506">
            <v>8338.9599999999991</v>
          </cell>
          <cell r="AS506">
            <v>8286.43</v>
          </cell>
          <cell r="AT506">
            <v>8238.15</v>
          </cell>
          <cell r="AU506">
            <v>8286.43</v>
          </cell>
          <cell r="AV506">
            <v>8286.43</v>
          </cell>
          <cell r="AW506">
            <v>8286.43</v>
          </cell>
          <cell r="AX506">
            <v>8286.43</v>
          </cell>
          <cell r="AY506">
            <v>8215.5400000000009</v>
          </cell>
          <cell r="AZ506">
            <v>8109.33</v>
          </cell>
          <cell r="BA506">
            <v>8531.65</v>
          </cell>
          <cell r="BB506">
            <v>8888.06</v>
          </cell>
          <cell r="BC506">
            <v>8497.76</v>
          </cell>
          <cell r="BD506">
            <v>8497.76</v>
          </cell>
          <cell r="BE506">
            <v>8497.76</v>
          </cell>
          <cell r="BF506">
            <v>8497.76</v>
          </cell>
          <cell r="BG506">
            <v>8497.76</v>
          </cell>
          <cell r="BH506">
            <v>8497.76</v>
          </cell>
          <cell r="BI506">
            <v>8497.76</v>
          </cell>
          <cell r="BJ506">
            <v>8497.76</v>
          </cell>
          <cell r="BK506">
            <v>10499.62</v>
          </cell>
          <cell r="BL506">
            <v>10470.68</v>
          </cell>
          <cell r="BM506">
            <v>4290.24</v>
          </cell>
          <cell r="BN506">
            <v>8414.4699999999993</v>
          </cell>
          <cell r="BO506">
            <v>8414.4699999999993</v>
          </cell>
          <cell r="BP506">
            <v>8414.4699999999993</v>
          </cell>
          <cell r="BQ506">
            <v>8414.4699999999993</v>
          </cell>
          <cell r="BR506">
            <v>8414.4699999999993</v>
          </cell>
          <cell r="BS506">
            <v>583335.51</v>
          </cell>
          <cell r="BT506">
            <v>614382.68999999994</v>
          </cell>
          <cell r="BU506">
            <v>612467.52</v>
          </cell>
          <cell r="BV506">
            <v>692353.85</v>
          </cell>
          <cell r="BW506">
            <v>961813.33</v>
          </cell>
          <cell r="BX506">
            <v>8713.26</v>
          </cell>
          <cell r="BY506">
            <v>8969.11</v>
          </cell>
          <cell r="BZ506">
            <v>8789.67</v>
          </cell>
          <cell r="CA506">
            <v>8789.67</v>
          </cell>
          <cell r="CB506">
            <v>8789.67</v>
          </cell>
          <cell r="CC506">
            <v>6601.25</v>
          </cell>
          <cell r="CD506">
            <v>7823.41</v>
          </cell>
          <cell r="CE506">
            <v>8392.7099999999991</v>
          </cell>
          <cell r="CF506">
            <v>8280.1299999999992</v>
          </cell>
          <cell r="CG506">
            <v>52.43</v>
          </cell>
          <cell r="CH506">
            <v>3423.93</v>
          </cell>
          <cell r="CI506">
            <v>7740.55</v>
          </cell>
          <cell r="CJ506">
            <v>34742.83</v>
          </cell>
          <cell r="CK506">
            <v>34728.519999999997</v>
          </cell>
          <cell r="CL506">
            <v>35873.9</v>
          </cell>
          <cell r="CM506">
            <v>35873.9</v>
          </cell>
          <cell r="CN506">
            <v>36151.74</v>
          </cell>
          <cell r="CO506">
            <v>35966.53</v>
          </cell>
          <cell r="CP506">
            <v>35990.480000000003</v>
          </cell>
          <cell r="CQ506">
            <v>35966.53</v>
          </cell>
          <cell r="CR506">
            <v>35966.53</v>
          </cell>
          <cell r="CS506">
            <v>35966.53</v>
          </cell>
          <cell r="CT506">
            <v>35966.53</v>
          </cell>
          <cell r="CU506">
            <v>35966.53</v>
          </cell>
          <cell r="CV506">
            <v>36099.300000000003</v>
          </cell>
          <cell r="CW506">
            <v>36243.800000000003</v>
          </cell>
          <cell r="CX506">
            <v>37075.18</v>
          </cell>
          <cell r="CY506">
            <v>35550.22</v>
          </cell>
          <cell r="CZ506">
            <v>37175.22</v>
          </cell>
          <cell r="DA506">
            <v>37149.019999999997</v>
          </cell>
          <cell r="DB506">
            <v>42451.4</v>
          </cell>
          <cell r="DC506">
            <v>37407.67</v>
          </cell>
          <cell r="DD506">
            <v>38281.24</v>
          </cell>
          <cell r="DE506">
            <v>38196.68</v>
          </cell>
          <cell r="DF506">
            <v>38196.68</v>
          </cell>
          <cell r="DG506">
            <v>38196.68</v>
          </cell>
          <cell r="DH506">
            <v>452023.08999999997</v>
          </cell>
        </row>
        <row r="507">
          <cell r="A507" t="str">
            <v>9250</v>
          </cell>
          <cell r="D507">
            <v>705136.09</v>
          </cell>
          <cell r="E507">
            <v>252274.32</v>
          </cell>
          <cell r="F507">
            <v>-2589614.4</v>
          </cell>
          <cell r="G507">
            <v>300916.74</v>
          </cell>
          <cell r="H507">
            <v>331375.81</v>
          </cell>
          <cell r="I507">
            <v>6772.13</v>
          </cell>
          <cell r="J507">
            <v>282726.21000000002</v>
          </cell>
          <cell r="K507">
            <v>384208.91</v>
          </cell>
          <cell r="L507">
            <v>184696.09</v>
          </cell>
          <cell r="M507">
            <v>375768.24</v>
          </cell>
          <cell r="N507">
            <v>376374.42</v>
          </cell>
          <cell r="O507">
            <v>-83772.149999999994</v>
          </cell>
          <cell r="P507">
            <v>277767.5</v>
          </cell>
          <cell r="Q507">
            <v>196006.53</v>
          </cell>
          <cell r="R507">
            <v>-213425.66</v>
          </cell>
          <cell r="S507">
            <v>133253.94</v>
          </cell>
          <cell r="T507">
            <v>166822.54999999999</v>
          </cell>
          <cell r="U507">
            <v>-3151.44</v>
          </cell>
          <cell r="V507">
            <v>249987.86</v>
          </cell>
          <cell r="W507">
            <v>284194.89</v>
          </cell>
          <cell r="X507">
            <v>133478.69</v>
          </cell>
          <cell r="Y507">
            <v>223038.31</v>
          </cell>
          <cell r="Z507">
            <v>630512.07999999996</v>
          </cell>
          <cell r="AA507">
            <v>850119.82</v>
          </cell>
          <cell r="AB507">
            <v>193769.68</v>
          </cell>
          <cell r="AC507">
            <v>289334.92</v>
          </cell>
          <cell r="AD507">
            <v>-187556.28</v>
          </cell>
          <cell r="AE507">
            <v>18432.080000000002</v>
          </cell>
          <cell r="AF507">
            <v>337289.71</v>
          </cell>
          <cell r="AG507">
            <v>826118.79</v>
          </cell>
          <cell r="AH507">
            <v>966.14</v>
          </cell>
          <cell r="AI507">
            <v>290629.57</v>
          </cell>
          <cell r="AJ507">
            <v>-32399.24</v>
          </cell>
          <cell r="AK507">
            <v>244313.86</v>
          </cell>
          <cell r="AL507">
            <v>204113.21</v>
          </cell>
          <cell r="AM507">
            <v>1136756.44</v>
          </cell>
          <cell r="AN507">
            <v>16437.91</v>
          </cell>
          <cell r="AO507">
            <v>157763.84</v>
          </cell>
          <cell r="AP507">
            <v>106877.49</v>
          </cell>
          <cell r="AQ507">
            <v>363575.43</v>
          </cell>
          <cell r="AR507">
            <v>207100.89</v>
          </cell>
          <cell r="AS507">
            <v>100250.14</v>
          </cell>
          <cell r="AT507">
            <v>403564.2</v>
          </cell>
          <cell r="AU507">
            <v>119698.64</v>
          </cell>
          <cell r="AV507">
            <v>604641.86</v>
          </cell>
          <cell r="AW507">
            <v>293427.73</v>
          </cell>
          <cell r="AX507">
            <v>427936.73</v>
          </cell>
          <cell r="AY507">
            <v>-6760.9</v>
          </cell>
          <cell r="AZ507">
            <v>410675.99</v>
          </cell>
          <cell r="BA507">
            <v>282646.42</v>
          </cell>
          <cell r="BB507">
            <v>230646.55</v>
          </cell>
          <cell r="BC507">
            <v>267422.05</v>
          </cell>
          <cell r="BD507">
            <v>583405.31000000006</v>
          </cell>
          <cell r="BE507">
            <v>192503.27</v>
          </cell>
          <cell r="BF507">
            <v>183169.98</v>
          </cell>
          <cell r="BG507">
            <v>-12139.59</v>
          </cell>
          <cell r="BH507">
            <v>338979.68</v>
          </cell>
          <cell r="BI507">
            <v>401110.41</v>
          </cell>
          <cell r="BJ507">
            <v>443394.64</v>
          </cell>
          <cell r="BK507">
            <v>525834.46</v>
          </cell>
          <cell r="BL507">
            <v>299335.7</v>
          </cell>
          <cell r="BM507">
            <v>267596.98</v>
          </cell>
          <cell r="BN507">
            <v>1120990.98</v>
          </cell>
          <cell r="BO507">
            <v>332702.37</v>
          </cell>
          <cell r="BP507">
            <v>343980.54</v>
          </cell>
          <cell r="BQ507">
            <v>254336.55</v>
          </cell>
          <cell r="BR507">
            <v>1251410</v>
          </cell>
          <cell r="BS507">
            <v>498052.81</v>
          </cell>
          <cell r="BT507">
            <v>20824.93</v>
          </cell>
          <cell r="BU507">
            <v>671799.76</v>
          </cell>
          <cell r="BV507">
            <v>675872.35</v>
          </cell>
          <cell r="BW507">
            <v>1221614.3799999999</v>
          </cell>
          <cell r="BX507">
            <v>105195.34</v>
          </cell>
          <cell r="BY507">
            <v>667915.96</v>
          </cell>
          <cell r="BZ507">
            <v>-437170.51</v>
          </cell>
          <cell r="CA507">
            <v>348999.75</v>
          </cell>
          <cell r="CB507">
            <v>228308.03</v>
          </cell>
          <cell r="CC507">
            <v>593640.52</v>
          </cell>
          <cell r="CD507">
            <v>473007.27</v>
          </cell>
          <cell r="CE507">
            <v>892507.87</v>
          </cell>
          <cell r="CF507">
            <v>587756.43999999994</v>
          </cell>
          <cell r="CG507">
            <v>875648.5</v>
          </cell>
          <cell r="CH507">
            <v>440130.26</v>
          </cell>
          <cell r="CI507">
            <v>1314107.5900000001</v>
          </cell>
          <cell r="CJ507">
            <v>26944.3</v>
          </cell>
          <cell r="CK507">
            <v>553837.67000000004</v>
          </cell>
          <cell r="CL507">
            <v>721397.54</v>
          </cell>
          <cell r="CM507">
            <v>359935.43</v>
          </cell>
          <cell r="CN507">
            <v>1111661.42</v>
          </cell>
          <cell r="CO507">
            <v>211334.33</v>
          </cell>
          <cell r="CP507">
            <v>748912.23</v>
          </cell>
          <cell r="CQ507">
            <v>528536.56000000006</v>
          </cell>
          <cell r="CR507">
            <v>925155.19</v>
          </cell>
          <cell r="CS507">
            <v>582753.55000000005</v>
          </cell>
          <cell r="CT507">
            <v>844085.25</v>
          </cell>
          <cell r="CU507">
            <v>2557574.38</v>
          </cell>
          <cell r="CV507">
            <v>-57199.71</v>
          </cell>
          <cell r="CW507">
            <v>814007.88</v>
          </cell>
          <cell r="CX507">
            <v>359285.49</v>
          </cell>
          <cell r="CY507">
            <v>645681.81999999995</v>
          </cell>
          <cell r="CZ507">
            <v>762752.73</v>
          </cell>
          <cell r="DA507">
            <v>712722.48</v>
          </cell>
          <cell r="DB507">
            <v>1084880.76</v>
          </cell>
          <cell r="DC507">
            <v>450324.14</v>
          </cell>
          <cell r="DD507">
            <v>1708192.77</v>
          </cell>
          <cell r="DE507">
            <v>1693769.74</v>
          </cell>
          <cell r="DF507">
            <v>392607.02</v>
          </cell>
          <cell r="DG507">
            <v>321947.90000000002</v>
          </cell>
          <cell r="DH507">
            <v>8888973.0199999996</v>
          </cell>
        </row>
        <row r="508">
          <cell r="A508" t="str">
            <v>9260</v>
          </cell>
          <cell r="D508">
            <v>872469.75</v>
          </cell>
          <cell r="E508">
            <v>736308.28</v>
          </cell>
          <cell r="F508">
            <v>935269.93</v>
          </cell>
          <cell r="G508">
            <v>696702.4</v>
          </cell>
          <cell r="H508">
            <v>1021762.65</v>
          </cell>
          <cell r="I508">
            <v>871953.47</v>
          </cell>
          <cell r="J508">
            <v>801306.68</v>
          </cell>
          <cell r="K508">
            <v>1236817.96</v>
          </cell>
          <cell r="L508">
            <v>1026431.61</v>
          </cell>
          <cell r="M508">
            <v>763911.27</v>
          </cell>
          <cell r="N508">
            <v>929867.12</v>
          </cell>
          <cell r="O508">
            <v>1689443.21</v>
          </cell>
          <cell r="P508">
            <v>559341.97</v>
          </cell>
          <cell r="Q508">
            <v>821563.77</v>
          </cell>
          <cell r="R508">
            <v>734816.15</v>
          </cell>
          <cell r="S508">
            <v>545093.11</v>
          </cell>
          <cell r="T508">
            <v>959858.46</v>
          </cell>
          <cell r="U508">
            <v>758013.58</v>
          </cell>
          <cell r="V508">
            <v>562891.81000000006</v>
          </cell>
          <cell r="W508">
            <v>843225.26</v>
          </cell>
          <cell r="X508">
            <v>771682.18</v>
          </cell>
          <cell r="Y508">
            <v>715923.81</v>
          </cell>
          <cell r="Z508">
            <v>984253.78</v>
          </cell>
          <cell r="AA508">
            <v>381421.94</v>
          </cell>
          <cell r="AB508">
            <v>755578.03</v>
          </cell>
          <cell r="AC508">
            <v>964401.17</v>
          </cell>
          <cell r="AD508">
            <v>458802.76</v>
          </cell>
          <cell r="AE508">
            <v>673680.48</v>
          </cell>
          <cell r="AF508">
            <v>785302.57</v>
          </cell>
          <cell r="AG508">
            <v>512871.08</v>
          </cell>
          <cell r="AH508">
            <v>639768.68999999994</v>
          </cell>
          <cell r="AI508">
            <v>657967.31999999995</v>
          </cell>
          <cell r="AJ508">
            <v>1288117.55</v>
          </cell>
          <cell r="AK508">
            <v>803932.44</v>
          </cell>
          <cell r="AL508">
            <v>582732.98</v>
          </cell>
          <cell r="AM508">
            <v>910700.96</v>
          </cell>
          <cell r="AN508">
            <v>756196.46</v>
          </cell>
          <cell r="AO508">
            <v>697806.57</v>
          </cell>
          <cell r="AP508">
            <v>469150.32</v>
          </cell>
          <cell r="AQ508">
            <v>645921.31000000006</v>
          </cell>
          <cell r="AR508">
            <v>553475.18000000005</v>
          </cell>
          <cell r="AS508">
            <v>436312.54</v>
          </cell>
          <cell r="AT508">
            <v>670163.59</v>
          </cell>
          <cell r="AU508">
            <v>859419.68</v>
          </cell>
          <cell r="AV508">
            <v>678743.47</v>
          </cell>
          <cell r="AW508">
            <v>695528.71</v>
          </cell>
          <cell r="AX508">
            <v>879534.69</v>
          </cell>
          <cell r="AY508">
            <v>-232014.77</v>
          </cell>
          <cell r="AZ508">
            <v>850917.78</v>
          </cell>
          <cell r="BA508">
            <v>829499.45</v>
          </cell>
          <cell r="BB508">
            <v>685921.46</v>
          </cell>
          <cell r="BC508">
            <v>905787.98</v>
          </cell>
          <cell r="BD508">
            <v>805129.46</v>
          </cell>
          <cell r="BE508">
            <v>773924.65</v>
          </cell>
          <cell r="BF508">
            <v>914744.61</v>
          </cell>
          <cell r="BG508">
            <v>1004055.66</v>
          </cell>
          <cell r="BH508">
            <v>332940.57</v>
          </cell>
          <cell r="BI508">
            <v>980712.6</v>
          </cell>
          <cell r="BJ508">
            <v>1221743.1000000001</v>
          </cell>
          <cell r="BK508">
            <v>306146.74</v>
          </cell>
          <cell r="BL508">
            <v>1240740.81</v>
          </cell>
          <cell r="BM508">
            <v>918338.58</v>
          </cell>
          <cell r="BN508">
            <v>1002172.64</v>
          </cell>
          <cell r="BO508">
            <v>854033.79</v>
          </cell>
          <cell r="BP508">
            <v>901851.91</v>
          </cell>
          <cell r="BQ508">
            <v>975153.17</v>
          </cell>
          <cell r="BR508">
            <v>504608.99</v>
          </cell>
          <cell r="BS508">
            <v>855350.79</v>
          </cell>
          <cell r="BT508">
            <v>1173069.6399999999</v>
          </cell>
          <cell r="BU508">
            <v>672560.28</v>
          </cell>
          <cell r="BV508">
            <v>681548.80000000005</v>
          </cell>
          <cell r="BW508">
            <v>689712.06</v>
          </cell>
          <cell r="BX508">
            <v>721088.44</v>
          </cell>
          <cell r="BY508">
            <v>1422405.47</v>
          </cell>
          <cell r="BZ508">
            <v>879758.39</v>
          </cell>
          <cell r="CA508">
            <v>816445.43</v>
          </cell>
          <cell r="CB508">
            <v>655416.61</v>
          </cell>
          <cell r="CC508">
            <v>652955.94999999995</v>
          </cell>
          <cell r="CD508">
            <v>787920.93</v>
          </cell>
          <cell r="CE508">
            <v>708204.54</v>
          </cell>
          <cell r="CF508">
            <v>704825.03</v>
          </cell>
          <cell r="CG508">
            <v>928122.83</v>
          </cell>
          <cell r="CH508">
            <v>1270330.2</v>
          </cell>
          <cell r="CI508">
            <v>1734983.29</v>
          </cell>
          <cell r="CJ508">
            <v>1509564.55</v>
          </cell>
          <cell r="CK508">
            <v>854410.81</v>
          </cell>
          <cell r="CL508">
            <v>553894.30000000005</v>
          </cell>
          <cell r="CM508">
            <v>1122852.48</v>
          </cell>
          <cell r="CN508">
            <v>981225.57</v>
          </cell>
          <cell r="CO508">
            <v>757821.93</v>
          </cell>
          <cell r="CP508">
            <v>1515664.19</v>
          </cell>
          <cell r="CQ508">
            <v>1541319.32</v>
          </cell>
          <cell r="CR508">
            <v>884052.26</v>
          </cell>
          <cell r="CS508">
            <v>1545339.61</v>
          </cell>
          <cell r="CT508">
            <v>1321945.21</v>
          </cell>
          <cell r="CU508">
            <v>-1174907.57</v>
          </cell>
          <cell r="CV508">
            <v>1092564.27</v>
          </cell>
          <cell r="CW508">
            <v>570383.06000000006</v>
          </cell>
          <cell r="CX508">
            <v>583789.46</v>
          </cell>
          <cell r="CY508">
            <v>933261.48</v>
          </cell>
          <cell r="CZ508">
            <v>632218.02</v>
          </cell>
          <cell r="DA508">
            <v>2292062.94</v>
          </cell>
          <cell r="DB508">
            <v>661374.68999999994</v>
          </cell>
          <cell r="DC508">
            <v>219756.47</v>
          </cell>
          <cell r="DD508">
            <v>485008.35</v>
          </cell>
          <cell r="DE508">
            <v>994179.97</v>
          </cell>
          <cell r="DF508">
            <v>609532.67000000004</v>
          </cell>
          <cell r="DG508">
            <v>1109138.24</v>
          </cell>
          <cell r="DH508">
            <v>10183269.619999999</v>
          </cell>
        </row>
        <row r="509">
          <cell r="A509" t="str">
            <v>9280</v>
          </cell>
          <cell r="CC509">
            <v>526.23</v>
          </cell>
          <cell r="CD509">
            <v>-567.46</v>
          </cell>
          <cell r="CE509">
            <v>0</v>
          </cell>
          <cell r="CF509">
            <v>0</v>
          </cell>
          <cell r="CG509">
            <v>0</v>
          </cell>
          <cell r="CH509">
            <v>0</v>
          </cell>
          <cell r="CI509">
            <v>0</v>
          </cell>
          <cell r="CJ509">
            <v>34179.129999999997</v>
          </cell>
          <cell r="CK509">
            <v>35838.28</v>
          </cell>
          <cell r="CL509">
            <v>35012.35</v>
          </cell>
          <cell r="CM509">
            <v>35009.919999999998</v>
          </cell>
          <cell r="CN509">
            <v>36408.83</v>
          </cell>
          <cell r="CO509">
            <v>35289.699999999997</v>
          </cell>
          <cell r="CP509">
            <v>35289.699999999997</v>
          </cell>
          <cell r="CQ509">
            <v>35289.699999999997</v>
          </cell>
          <cell r="CR509">
            <v>35289.699999999997</v>
          </cell>
          <cell r="CS509">
            <v>35289.699999999997</v>
          </cell>
          <cell r="CT509">
            <v>35289.699999999997</v>
          </cell>
          <cell r="CU509">
            <v>35289.699999999997</v>
          </cell>
          <cell r="CV509">
            <v>35289.699999999997</v>
          </cell>
          <cell r="CW509">
            <v>35289.699999999997</v>
          </cell>
          <cell r="CX509">
            <v>35289.699999999997</v>
          </cell>
          <cell r="CY509">
            <v>35289.699999999997</v>
          </cell>
          <cell r="CZ509">
            <v>35289.699999999997</v>
          </cell>
          <cell r="DA509">
            <v>35289.699999999997</v>
          </cell>
          <cell r="DB509">
            <v>35289.699999999997</v>
          </cell>
          <cell r="DC509">
            <v>35289.699999999997</v>
          </cell>
          <cell r="DD509">
            <v>35289.699999999997</v>
          </cell>
          <cell r="DE509">
            <v>35289.699999999997</v>
          </cell>
          <cell r="DF509">
            <v>35289.699999999997</v>
          </cell>
          <cell r="DG509">
            <v>35289.72</v>
          </cell>
          <cell r="DH509">
            <v>423476.42000000004</v>
          </cell>
        </row>
        <row r="510">
          <cell r="A510" t="str">
            <v>9301</v>
          </cell>
          <cell r="Q510">
            <v>800</v>
          </cell>
          <cell r="U510">
            <v>10000</v>
          </cell>
          <cell r="V510">
            <v>1450.16</v>
          </cell>
          <cell r="W510">
            <v>0</v>
          </cell>
          <cell r="X510">
            <v>870.93</v>
          </cell>
          <cell r="Y510">
            <v>299</v>
          </cell>
          <cell r="Z510">
            <v>0</v>
          </cell>
          <cell r="AA510">
            <v>0</v>
          </cell>
          <cell r="AB510">
            <v>603.69000000000005</v>
          </cell>
          <cell r="AC510">
            <v>99.64</v>
          </cell>
          <cell r="AD510">
            <v>0</v>
          </cell>
          <cell r="AE510">
            <v>0</v>
          </cell>
          <cell r="AF510">
            <v>0</v>
          </cell>
          <cell r="AG510">
            <v>0</v>
          </cell>
          <cell r="AH510">
            <v>0</v>
          </cell>
          <cell r="AI510">
            <v>83.64</v>
          </cell>
          <cell r="AJ510">
            <v>0</v>
          </cell>
          <cell r="AK510">
            <v>5230</v>
          </cell>
          <cell r="AL510">
            <v>0</v>
          </cell>
          <cell r="AM510">
            <v>14000</v>
          </cell>
          <cell r="AN510">
            <v>0</v>
          </cell>
          <cell r="AO510">
            <v>7000</v>
          </cell>
          <cell r="AP510">
            <v>0</v>
          </cell>
          <cell r="AQ510">
            <v>7000</v>
          </cell>
          <cell r="AR510">
            <v>-593.92999999999995</v>
          </cell>
          <cell r="AS510">
            <v>0</v>
          </cell>
          <cell r="AT510">
            <v>0</v>
          </cell>
          <cell r="AU510">
            <v>0</v>
          </cell>
          <cell r="AV510">
            <v>0</v>
          </cell>
          <cell r="AW510">
            <v>0</v>
          </cell>
          <cell r="AX510">
            <v>0</v>
          </cell>
          <cell r="AY510">
            <v>0</v>
          </cell>
          <cell r="AZ510">
            <v>0</v>
          </cell>
          <cell r="BA510">
            <v>0</v>
          </cell>
          <cell r="BB510">
            <v>0</v>
          </cell>
          <cell r="BC510">
            <v>207.2</v>
          </cell>
          <cell r="BD510">
            <v>0</v>
          </cell>
          <cell r="BE510">
            <v>0</v>
          </cell>
          <cell r="BF510">
            <v>0</v>
          </cell>
          <cell r="BG510">
            <v>398.16</v>
          </cell>
          <cell r="BH510">
            <v>0</v>
          </cell>
          <cell r="BI510">
            <v>0</v>
          </cell>
          <cell r="BJ510">
            <v>0</v>
          </cell>
          <cell r="BK510">
            <v>0</v>
          </cell>
          <cell r="BL510">
            <v>0</v>
          </cell>
          <cell r="BM510">
            <v>0</v>
          </cell>
          <cell r="BN510">
            <v>342.57</v>
          </cell>
          <cell r="BO510">
            <v>0</v>
          </cell>
          <cell r="BP510">
            <v>0</v>
          </cell>
          <cell r="BQ510">
            <v>0</v>
          </cell>
          <cell r="BR510">
            <v>564</v>
          </cell>
          <cell r="BS510">
            <v>0</v>
          </cell>
          <cell r="BT510">
            <v>0</v>
          </cell>
          <cell r="BU510">
            <v>0</v>
          </cell>
          <cell r="BV510">
            <v>680</v>
          </cell>
          <cell r="BW510">
            <v>-680</v>
          </cell>
          <cell r="BX510">
            <v>0</v>
          </cell>
          <cell r="BY510">
            <v>0</v>
          </cell>
          <cell r="BZ510">
            <v>0</v>
          </cell>
          <cell r="CA510">
            <v>0</v>
          </cell>
          <cell r="CB510">
            <v>0</v>
          </cell>
          <cell r="CC510">
            <v>0</v>
          </cell>
          <cell r="CD510">
            <v>0</v>
          </cell>
          <cell r="CE510">
            <v>0</v>
          </cell>
          <cell r="CF510">
            <v>231.6</v>
          </cell>
          <cell r="CG510">
            <v>0</v>
          </cell>
          <cell r="CH510">
            <v>0</v>
          </cell>
          <cell r="CI510">
            <v>0</v>
          </cell>
          <cell r="CJ510">
            <v>0</v>
          </cell>
          <cell r="CK510">
            <v>0</v>
          </cell>
          <cell r="CL510">
            <v>0</v>
          </cell>
          <cell r="CM510">
            <v>0.85</v>
          </cell>
          <cell r="CN510">
            <v>0</v>
          </cell>
          <cell r="CO510">
            <v>0</v>
          </cell>
          <cell r="CP510">
            <v>0</v>
          </cell>
          <cell r="CQ510">
            <v>0</v>
          </cell>
          <cell r="CR510">
            <v>677</v>
          </cell>
          <cell r="CS510">
            <v>0</v>
          </cell>
          <cell r="CT510">
            <v>0</v>
          </cell>
          <cell r="CU510">
            <v>0</v>
          </cell>
          <cell r="CV510">
            <v>0</v>
          </cell>
          <cell r="CW510">
            <v>0</v>
          </cell>
          <cell r="CX510">
            <v>0</v>
          </cell>
          <cell r="CY510">
            <v>0</v>
          </cell>
          <cell r="CZ510">
            <v>993</v>
          </cell>
          <cell r="DA510">
            <v>670.2</v>
          </cell>
          <cell r="DB510">
            <v>0</v>
          </cell>
          <cell r="DC510">
            <v>3353.66</v>
          </cell>
          <cell r="DD510">
            <v>3260.17</v>
          </cell>
          <cell r="DE510">
            <v>565</v>
          </cell>
          <cell r="DF510">
            <v>0</v>
          </cell>
          <cell r="DG510">
            <v>0</v>
          </cell>
          <cell r="DH510">
            <v>8842.0299999999988</v>
          </cell>
        </row>
        <row r="511">
          <cell r="A511" t="str">
            <v>9302</v>
          </cell>
          <cell r="D511">
            <v>1018003.35</v>
          </cell>
          <cell r="E511">
            <v>1234232.42</v>
          </cell>
          <cell r="F511">
            <v>1483281.21</v>
          </cell>
          <cell r="G511">
            <v>1028758.18</v>
          </cell>
          <cell r="H511">
            <v>1042095.07</v>
          </cell>
          <cell r="I511">
            <v>1164251.02</v>
          </cell>
          <cell r="J511">
            <v>1244794.5900000001</v>
          </cell>
          <cell r="K511">
            <v>968673.42</v>
          </cell>
          <cell r="L511">
            <v>973876.75</v>
          </cell>
          <cell r="M511">
            <v>1168368.29</v>
          </cell>
          <cell r="N511">
            <v>1068337.3700000001</v>
          </cell>
          <cell r="O511">
            <v>594014.31999999995</v>
          </cell>
          <cell r="P511">
            <v>1641189.63</v>
          </cell>
          <cell r="Q511">
            <v>1470540.86</v>
          </cell>
          <cell r="R511">
            <v>1681998.47</v>
          </cell>
          <cell r="S511">
            <v>1827169.85</v>
          </cell>
          <cell r="T511">
            <v>1253610.3899999999</v>
          </cell>
          <cell r="U511">
            <v>1395351.06</v>
          </cell>
          <cell r="V511">
            <v>1568140.28</v>
          </cell>
          <cell r="W511">
            <v>1412330.69</v>
          </cell>
          <cell r="X511">
            <v>1706591.63</v>
          </cell>
          <cell r="Y511">
            <v>1495261.55</v>
          </cell>
          <cell r="Z511">
            <v>1486659.53</v>
          </cell>
          <cell r="AA511">
            <v>1587097.48</v>
          </cell>
          <cell r="AB511">
            <v>1409620.83</v>
          </cell>
          <cell r="AC511">
            <v>1312285.0900000001</v>
          </cell>
          <cell r="AD511">
            <v>2495321</v>
          </cell>
          <cell r="AE511">
            <v>1447218.17</v>
          </cell>
          <cell r="AF511">
            <v>1356702.93</v>
          </cell>
          <cell r="AG511">
            <v>1579553.41</v>
          </cell>
          <cell r="AH511">
            <v>1402366.87</v>
          </cell>
          <cell r="AI511">
            <v>1170302.04</v>
          </cell>
          <cell r="AJ511">
            <v>1411840.9</v>
          </cell>
          <cell r="AK511">
            <v>1520661.49</v>
          </cell>
          <cell r="AL511">
            <v>1257213.3600000001</v>
          </cell>
          <cell r="AM511">
            <v>1848314.18</v>
          </cell>
          <cell r="AN511">
            <v>1391183.83</v>
          </cell>
          <cell r="AO511">
            <v>1251185.8600000001</v>
          </cell>
          <cell r="AP511">
            <v>1852205.24</v>
          </cell>
          <cell r="AQ511">
            <v>1498213.51</v>
          </cell>
          <cell r="AR511">
            <v>1508106.75</v>
          </cell>
          <cell r="AS511">
            <v>2210831.79</v>
          </cell>
          <cell r="AT511">
            <v>1513414.37</v>
          </cell>
          <cell r="AU511">
            <v>1536611.47</v>
          </cell>
          <cell r="AV511">
            <v>2050812.96</v>
          </cell>
          <cell r="AW511">
            <v>1208329.03</v>
          </cell>
          <cell r="AX511">
            <v>1540305.41</v>
          </cell>
          <cell r="AY511">
            <v>2193738.85</v>
          </cell>
          <cell r="AZ511">
            <v>1574001.94</v>
          </cell>
          <cell r="BA511">
            <v>1680663.99</v>
          </cell>
          <cell r="BB511">
            <v>1879242.74</v>
          </cell>
          <cell r="BC511">
            <v>1434903.4</v>
          </cell>
          <cell r="BD511">
            <v>1522921.49</v>
          </cell>
          <cell r="BE511">
            <v>2237279.88</v>
          </cell>
          <cell r="BF511">
            <v>1648180.22</v>
          </cell>
          <cell r="BG511">
            <v>1461012.64</v>
          </cell>
          <cell r="BH511">
            <v>2050735.04</v>
          </cell>
          <cell r="BI511">
            <v>1449135.74</v>
          </cell>
          <cell r="BJ511">
            <v>1384530.22</v>
          </cell>
          <cell r="BK511">
            <v>2452279.2799999998</v>
          </cell>
          <cell r="BL511">
            <v>1564556.99</v>
          </cell>
          <cell r="BM511">
            <v>1386338.97</v>
          </cell>
          <cell r="BN511">
            <v>2165731.42</v>
          </cell>
          <cell r="BO511">
            <v>1488568.95</v>
          </cell>
          <cell r="BP511">
            <v>1614011.03</v>
          </cell>
          <cell r="BQ511">
            <v>2195858.7799999998</v>
          </cell>
          <cell r="BR511">
            <v>1597327.3</v>
          </cell>
          <cell r="BS511">
            <v>1616261.37</v>
          </cell>
          <cell r="BT511">
            <v>2328502.1</v>
          </cell>
          <cell r="BU511">
            <v>1486688.41</v>
          </cell>
          <cell r="BV511">
            <v>1465660.15</v>
          </cell>
          <cell r="BW511">
            <v>2566127.08</v>
          </cell>
          <cell r="BX511">
            <v>1789667.99</v>
          </cell>
          <cell r="BY511">
            <v>1567557.89</v>
          </cell>
          <cell r="BZ511">
            <v>2533541.7200000002</v>
          </cell>
          <cell r="CA511">
            <v>1831631.63</v>
          </cell>
          <cell r="CB511">
            <v>2043369.36</v>
          </cell>
          <cell r="CC511">
            <v>1945005.34</v>
          </cell>
          <cell r="CD511">
            <v>1764478.84</v>
          </cell>
          <cell r="CE511">
            <v>1635826.18</v>
          </cell>
          <cell r="CF511">
            <v>1732083.06</v>
          </cell>
          <cell r="CG511">
            <v>2284148.6800000002</v>
          </cell>
          <cell r="CH511">
            <v>1369419.75</v>
          </cell>
          <cell r="CI511">
            <v>3343585.61</v>
          </cell>
          <cell r="CJ511">
            <v>1650598.48</v>
          </cell>
          <cell r="CK511">
            <v>1451482.26</v>
          </cell>
          <cell r="CL511">
            <v>2131787.19</v>
          </cell>
          <cell r="CM511">
            <v>1379238.63</v>
          </cell>
          <cell r="CN511">
            <v>1141260.53</v>
          </cell>
          <cell r="CO511">
            <v>2779213.26</v>
          </cell>
          <cell r="CP511">
            <v>1650835.58</v>
          </cell>
          <cell r="CQ511">
            <v>1543568.19</v>
          </cell>
          <cell r="CR511">
            <v>2196938.48</v>
          </cell>
          <cell r="CS511">
            <v>1009886.58</v>
          </cell>
          <cell r="CT511">
            <v>1611723.65</v>
          </cell>
          <cell r="CU511">
            <v>2995614.73</v>
          </cell>
          <cell r="CV511">
            <v>1870468.38</v>
          </cell>
          <cell r="CW511">
            <v>1544628.61</v>
          </cell>
          <cell r="CX511">
            <v>2267178.2799999998</v>
          </cell>
          <cell r="CY511">
            <v>1740962.82</v>
          </cell>
          <cell r="CZ511">
            <v>1553263.22</v>
          </cell>
          <cell r="DA511">
            <v>2412675.9300000002</v>
          </cell>
          <cell r="DB511">
            <v>1686414.63</v>
          </cell>
          <cell r="DC511">
            <v>1785141.5</v>
          </cell>
          <cell r="DD511">
            <v>2369460.2999999998</v>
          </cell>
          <cell r="DE511">
            <v>1846421.18</v>
          </cell>
          <cell r="DF511">
            <v>1639738.08</v>
          </cell>
          <cell r="DG511">
            <v>2987897.08</v>
          </cell>
          <cell r="DH511">
            <v>23704250.009999998</v>
          </cell>
        </row>
        <row r="512">
          <cell r="A512" t="str">
            <v>9310</v>
          </cell>
          <cell r="D512">
            <v>42478.13</v>
          </cell>
          <cell r="E512">
            <v>38042.51</v>
          </cell>
          <cell r="F512">
            <v>32767.279999999999</v>
          </cell>
          <cell r="G512">
            <v>43747.64</v>
          </cell>
          <cell r="H512">
            <v>32937.410000000003</v>
          </cell>
          <cell r="I512">
            <v>37907.51</v>
          </cell>
          <cell r="J512">
            <v>44255.23</v>
          </cell>
          <cell r="K512">
            <v>37775.51</v>
          </cell>
          <cell r="L512">
            <v>32702.51</v>
          </cell>
          <cell r="M512">
            <v>36683.69</v>
          </cell>
          <cell r="N512">
            <v>36497.51</v>
          </cell>
          <cell r="O512">
            <v>43733.75</v>
          </cell>
          <cell r="P512">
            <v>35782.699999999997</v>
          </cell>
          <cell r="Q512">
            <v>73096.2</v>
          </cell>
          <cell r="R512">
            <v>56192.480000000003</v>
          </cell>
          <cell r="S512">
            <v>38994.36</v>
          </cell>
          <cell r="T512">
            <v>50333.74</v>
          </cell>
          <cell r="U512">
            <v>31915.87</v>
          </cell>
          <cell r="V512">
            <v>45481.17</v>
          </cell>
          <cell r="W512">
            <v>38877.910000000003</v>
          </cell>
          <cell r="X512">
            <v>53308.83</v>
          </cell>
          <cell r="Y512">
            <v>32536.9</v>
          </cell>
          <cell r="Z512">
            <v>46835.88</v>
          </cell>
          <cell r="AA512">
            <v>42215.47</v>
          </cell>
          <cell r="AB512">
            <v>39580.97</v>
          </cell>
          <cell r="AC512">
            <v>46190.080000000002</v>
          </cell>
          <cell r="AD512">
            <v>38059.93</v>
          </cell>
          <cell r="AE512">
            <v>29748.17</v>
          </cell>
          <cell r="AF512">
            <v>45384.36</v>
          </cell>
          <cell r="AG512">
            <v>46716.27</v>
          </cell>
          <cell r="AH512">
            <v>45985.41</v>
          </cell>
          <cell r="AI512">
            <v>36356.04</v>
          </cell>
          <cell r="AJ512">
            <v>37900.18</v>
          </cell>
          <cell r="AK512">
            <v>37639.120000000003</v>
          </cell>
          <cell r="AL512">
            <v>38522.6</v>
          </cell>
          <cell r="AM512">
            <v>31319.41</v>
          </cell>
          <cell r="AN512">
            <v>49574.73</v>
          </cell>
          <cell r="AO512">
            <v>40624.01</v>
          </cell>
          <cell r="AP512">
            <v>42195.6</v>
          </cell>
          <cell r="AQ512">
            <v>41978.74</v>
          </cell>
          <cell r="AR512">
            <v>39370.93</v>
          </cell>
          <cell r="AS512">
            <v>39324.699999999997</v>
          </cell>
          <cell r="AT512">
            <v>39653.46</v>
          </cell>
          <cell r="AU512">
            <v>39575.1</v>
          </cell>
          <cell r="AV512">
            <v>39302.07</v>
          </cell>
          <cell r="AW512">
            <v>36883.279999999999</v>
          </cell>
          <cell r="AX512">
            <v>42480.38</v>
          </cell>
          <cell r="AY512">
            <v>32429.55</v>
          </cell>
          <cell r="AZ512">
            <v>46276.07</v>
          </cell>
          <cell r="BA512">
            <v>61778.2</v>
          </cell>
          <cell r="BB512">
            <v>39667.33</v>
          </cell>
          <cell r="BC512">
            <v>39462.17</v>
          </cell>
          <cell r="BD512">
            <v>38180.99</v>
          </cell>
          <cell r="BE512">
            <v>39435.15</v>
          </cell>
          <cell r="BF512">
            <v>39556.44</v>
          </cell>
          <cell r="BG512">
            <v>41504.53</v>
          </cell>
          <cell r="BH512">
            <v>32970.35</v>
          </cell>
          <cell r="BI512">
            <v>46295.19</v>
          </cell>
          <cell r="BJ512">
            <v>39809.61</v>
          </cell>
          <cell r="BK512">
            <v>39239.32</v>
          </cell>
          <cell r="BL512">
            <v>37984.800000000003</v>
          </cell>
          <cell r="BM512">
            <v>32147</v>
          </cell>
          <cell r="BN512">
            <v>39081.25</v>
          </cell>
          <cell r="BO512">
            <v>46043.94</v>
          </cell>
          <cell r="BP512">
            <v>37510.660000000003</v>
          </cell>
          <cell r="BQ512">
            <v>37300.370000000003</v>
          </cell>
          <cell r="BR512">
            <v>38097.449999999997</v>
          </cell>
          <cell r="BS512">
            <v>38604.980000000003</v>
          </cell>
          <cell r="BT512">
            <v>36944.089999999997</v>
          </cell>
          <cell r="BU512">
            <v>37974.620000000003</v>
          </cell>
          <cell r="BV512">
            <v>30835.55</v>
          </cell>
          <cell r="BW512">
            <v>44673.64</v>
          </cell>
          <cell r="BX512">
            <v>52211.26</v>
          </cell>
          <cell r="BY512">
            <v>53448.27</v>
          </cell>
          <cell r="BZ512">
            <v>48673.32</v>
          </cell>
          <cell r="CA512">
            <v>46284.01</v>
          </cell>
          <cell r="CB512">
            <v>38996.51</v>
          </cell>
          <cell r="CC512">
            <v>53485.72</v>
          </cell>
          <cell r="CD512">
            <v>47873.35</v>
          </cell>
          <cell r="CE512">
            <v>18757.96</v>
          </cell>
          <cell r="CF512">
            <v>45508.480000000003</v>
          </cell>
          <cell r="CG512">
            <v>46274.78</v>
          </cell>
          <cell r="CH512">
            <v>46635.19</v>
          </cell>
          <cell r="CI512">
            <v>48127.09</v>
          </cell>
          <cell r="CJ512">
            <v>40049.33</v>
          </cell>
          <cell r="CK512">
            <v>32214.94</v>
          </cell>
          <cell r="CL512">
            <v>57648.44</v>
          </cell>
          <cell r="CM512">
            <v>41194.410000000003</v>
          </cell>
          <cell r="CN512">
            <v>41164.51</v>
          </cell>
          <cell r="CO512">
            <v>41546.76</v>
          </cell>
          <cell r="CP512">
            <v>40603.360000000001</v>
          </cell>
          <cell r="CQ512">
            <v>39968.410000000003</v>
          </cell>
          <cell r="CR512">
            <v>39328.51</v>
          </cell>
          <cell r="CS512">
            <v>39264.410000000003</v>
          </cell>
          <cell r="CT512">
            <v>38328.51</v>
          </cell>
          <cell r="CU512">
            <v>40505.26</v>
          </cell>
          <cell r="CV512">
            <v>39296.46</v>
          </cell>
          <cell r="CW512">
            <v>44137.19</v>
          </cell>
          <cell r="CX512">
            <v>41036.49</v>
          </cell>
          <cell r="CY512">
            <v>42366.879999999997</v>
          </cell>
          <cell r="CZ512">
            <v>42337.5</v>
          </cell>
          <cell r="DA512">
            <v>42352.65</v>
          </cell>
          <cell r="DB512">
            <v>42337.5</v>
          </cell>
          <cell r="DC512">
            <v>42337.5</v>
          </cell>
          <cell r="DD512">
            <v>42300.1</v>
          </cell>
          <cell r="DE512">
            <v>42564.5</v>
          </cell>
          <cell r="DF512">
            <v>42374.9</v>
          </cell>
          <cell r="DG512">
            <v>42337.5</v>
          </cell>
          <cell r="DH512">
            <v>505779.17</v>
          </cell>
        </row>
        <row r="513">
          <cell r="A513" t="str">
            <v>9320</v>
          </cell>
          <cell r="D513">
            <v>19592.38</v>
          </cell>
          <cell r="E513">
            <v>17018.55</v>
          </cell>
          <cell r="F513">
            <v>18733.330000000002</v>
          </cell>
          <cell r="G513">
            <v>14532.9</v>
          </cell>
          <cell r="H513">
            <v>25828.79</v>
          </cell>
          <cell r="I513">
            <v>20143.43</v>
          </cell>
          <cell r="J513">
            <v>28616.46</v>
          </cell>
          <cell r="K513">
            <v>19834.89</v>
          </cell>
          <cell r="L513">
            <v>26157.040000000001</v>
          </cell>
          <cell r="M513">
            <v>21787.95</v>
          </cell>
          <cell r="N513">
            <v>12791.11</v>
          </cell>
          <cell r="O513">
            <v>19261.990000000002</v>
          </cell>
          <cell r="P513">
            <v>18334.43</v>
          </cell>
          <cell r="Q513">
            <v>30566.58</v>
          </cell>
          <cell r="R513">
            <v>26969.49</v>
          </cell>
          <cell r="S513">
            <v>29009.66</v>
          </cell>
          <cell r="T513">
            <v>17096.330000000002</v>
          </cell>
          <cell r="U513">
            <v>26353.9</v>
          </cell>
          <cell r="V513">
            <v>19988.689999999999</v>
          </cell>
          <cell r="W513">
            <v>16690.77</v>
          </cell>
          <cell r="X513">
            <v>21687.33</v>
          </cell>
          <cell r="Y513">
            <v>20055.669999999998</v>
          </cell>
          <cell r="Z513">
            <v>25948.89</v>
          </cell>
          <cell r="AA513">
            <v>36020.160000000003</v>
          </cell>
          <cell r="AB513">
            <v>19974.14</v>
          </cell>
          <cell r="AC513">
            <v>22807.99</v>
          </cell>
          <cell r="AD513">
            <v>29071.26</v>
          </cell>
          <cell r="AE513">
            <v>19166.689999999999</v>
          </cell>
          <cell r="AF513">
            <v>33451.230000000003</v>
          </cell>
          <cell r="AG513">
            <v>31141.85</v>
          </cell>
          <cell r="AH513">
            <v>16543.009999999998</v>
          </cell>
          <cell r="AI513">
            <v>44969.31</v>
          </cell>
          <cell r="AJ513">
            <v>34505.9</v>
          </cell>
          <cell r="AK513">
            <v>24042.2</v>
          </cell>
          <cell r="AL513">
            <v>22590.75</v>
          </cell>
          <cell r="AM513">
            <v>102450.61</v>
          </cell>
          <cell r="AN513">
            <v>9114.01</v>
          </cell>
          <cell r="AO513">
            <v>19654.45</v>
          </cell>
          <cell r="AP513">
            <v>17041.849999999999</v>
          </cell>
          <cell r="AQ513">
            <v>15543</v>
          </cell>
          <cell r="AR513">
            <v>22024.91</v>
          </cell>
          <cell r="AS513">
            <v>21574.61</v>
          </cell>
          <cell r="AT513">
            <v>16927.71</v>
          </cell>
          <cell r="AU513">
            <v>21168.16</v>
          </cell>
          <cell r="AV513">
            <v>15869.04</v>
          </cell>
          <cell r="AW513">
            <v>34942.82</v>
          </cell>
          <cell r="AX513">
            <v>24897.91</v>
          </cell>
          <cell r="AY513">
            <v>38763.06</v>
          </cell>
          <cell r="AZ513">
            <v>13304.53</v>
          </cell>
          <cell r="BA513">
            <v>8643.64</v>
          </cell>
          <cell r="BB513">
            <v>19607.3</v>
          </cell>
          <cell r="BC513">
            <v>26500.16</v>
          </cell>
          <cell r="BD513">
            <v>33678.42</v>
          </cell>
          <cell r="BE513">
            <v>28056.43</v>
          </cell>
          <cell r="BF513">
            <v>22128.3</v>
          </cell>
          <cell r="BG513">
            <v>18469.169999999998</v>
          </cell>
          <cell r="BH513">
            <v>22052.32</v>
          </cell>
          <cell r="BI513">
            <v>30914.19</v>
          </cell>
          <cell r="BJ513">
            <v>17188.57</v>
          </cell>
          <cell r="BK513">
            <v>36010.93</v>
          </cell>
          <cell r="BL513">
            <v>17929.009999999998</v>
          </cell>
          <cell r="BM513">
            <v>71137.02</v>
          </cell>
          <cell r="BN513">
            <v>32496.05</v>
          </cell>
          <cell r="BO513">
            <v>31495.95</v>
          </cell>
          <cell r="BP513">
            <v>31101.34</v>
          </cell>
          <cell r="BQ513">
            <v>22979.43</v>
          </cell>
          <cell r="BR513">
            <v>26157.07</v>
          </cell>
          <cell r="BS513">
            <v>28349.97</v>
          </cell>
          <cell r="BT513">
            <v>23588.69</v>
          </cell>
          <cell r="BU513">
            <v>30503.23</v>
          </cell>
          <cell r="BV513">
            <v>25546.67</v>
          </cell>
          <cell r="BW513">
            <v>57633.54</v>
          </cell>
          <cell r="BX513">
            <v>115964.94</v>
          </cell>
          <cell r="BY513">
            <v>-75096.86</v>
          </cell>
          <cell r="BZ513">
            <v>-79480.11</v>
          </cell>
          <cell r="CA513">
            <v>119034.59</v>
          </cell>
          <cell r="CB513">
            <v>19682.37</v>
          </cell>
          <cell r="CC513">
            <v>16281.21</v>
          </cell>
          <cell r="CD513">
            <v>18553.990000000002</v>
          </cell>
          <cell r="CE513">
            <v>24012.31</v>
          </cell>
          <cell r="CF513">
            <v>19621.900000000001</v>
          </cell>
          <cell r="CG513">
            <v>21597.02</v>
          </cell>
          <cell r="CH513">
            <v>18895.580000000002</v>
          </cell>
          <cell r="CI513">
            <v>33613.22</v>
          </cell>
          <cell r="CJ513">
            <v>15207.32</v>
          </cell>
          <cell r="CK513">
            <v>9676.35</v>
          </cell>
          <cell r="CL513">
            <v>44974.8</v>
          </cell>
          <cell r="CM513">
            <v>15294.87</v>
          </cell>
          <cell r="CN513">
            <v>43224.49</v>
          </cell>
          <cell r="CO513">
            <v>26828.959999999999</v>
          </cell>
          <cell r="CP513">
            <v>24095.81</v>
          </cell>
          <cell r="CQ513">
            <v>29908.32</v>
          </cell>
          <cell r="CR513">
            <v>19365.62</v>
          </cell>
          <cell r="CS513">
            <v>16438.11</v>
          </cell>
          <cell r="CT513">
            <v>24229.91</v>
          </cell>
          <cell r="CU513">
            <v>20277.28</v>
          </cell>
          <cell r="CV513">
            <v>30312.05</v>
          </cell>
          <cell r="CW513">
            <v>31971.439999999999</v>
          </cell>
          <cell r="CX513">
            <v>20343.740000000002</v>
          </cell>
          <cell r="CY513">
            <v>25017.3</v>
          </cell>
          <cell r="CZ513">
            <v>45575.45</v>
          </cell>
          <cell r="DA513">
            <v>21846.98</v>
          </cell>
          <cell r="DB513">
            <v>52326.879999999997</v>
          </cell>
          <cell r="DC513">
            <v>54846.14</v>
          </cell>
          <cell r="DD513">
            <v>28064.67</v>
          </cell>
          <cell r="DE513">
            <v>35385.75</v>
          </cell>
          <cell r="DF513">
            <v>46815.58</v>
          </cell>
          <cell r="DG513">
            <v>49585.5</v>
          </cell>
          <cell r="DH513">
            <v>442091.48</v>
          </cell>
        </row>
      </sheetData>
      <sheetData sheetId="11">
        <row r="5">
          <cell r="A5" t="str">
            <v>1010000</v>
          </cell>
          <cell r="B5" t="str">
            <v>1010000</v>
          </cell>
          <cell r="C5" t="str">
            <v>Utility Plant in Svc</v>
          </cell>
          <cell r="D5">
            <v>1188438144.46</v>
          </cell>
          <cell r="E5">
            <v>1181375109.0899999</v>
          </cell>
          <cell r="F5">
            <v>1183669611.1700001</v>
          </cell>
          <cell r="G5">
            <v>1187818086.28</v>
          </cell>
          <cell r="H5">
            <v>1193444141.6099999</v>
          </cell>
          <cell r="I5">
            <v>1196718822.3299999</v>
          </cell>
          <cell r="J5">
            <v>1205461196.28</v>
          </cell>
          <cell r="K5">
            <v>1217215082.8699999</v>
          </cell>
          <cell r="L5">
            <v>1219768821.8399999</v>
          </cell>
          <cell r="M5">
            <v>1221185968.05</v>
          </cell>
          <cell r="N5">
            <v>1226654487.26</v>
          </cell>
          <cell r="O5">
            <v>1230602459.26</v>
          </cell>
          <cell r="P5">
            <v>1237774817.28</v>
          </cell>
          <cell r="Q5">
            <v>1243453386.9300001</v>
          </cell>
          <cell r="R5">
            <v>1239784853.5699999</v>
          </cell>
          <cell r="S5">
            <v>1247743088.6099999</v>
          </cell>
          <cell r="T5">
            <v>1255789698.6700001</v>
          </cell>
          <cell r="U5">
            <v>1263521357.9300001</v>
          </cell>
          <cell r="V5">
            <v>1273021195.1500001</v>
          </cell>
          <cell r="W5">
            <v>1278370429.4000001</v>
          </cell>
          <cell r="X5">
            <v>1280724126.74</v>
          </cell>
          <cell r="Y5">
            <v>1284361394.1199999</v>
          </cell>
          <cell r="Z5">
            <v>1285704724.3900001</v>
          </cell>
          <cell r="AA5">
            <v>1290505400.77</v>
          </cell>
          <cell r="AB5">
            <v>1306055752.6700001</v>
          </cell>
          <cell r="AC5">
            <v>1307925714.0699999</v>
          </cell>
          <cell r="AD5">
            <v>1312431109.54</v>
          </cell>
          <cell r="AE5">
            <v>1322755935.72</v>
          </cell>
          <cell r="AF5">
            <v>1329266317.1900001</v>
          </cell>
          <cell r="AG5">
            <v>1334332726.99</v>
          </cell>
          <cell r="AH5">
            <v>1337224990.6500001</v>
          </cell>
          <cell r="AI5">
            <v>1347244874.27</v>
          </cell>
          <cell r="AJ5">
            <v>1356728799.3099999</v>
          </cell>
          <cell r="AK5">
            <v>1360597866.1900001</v>
          </cell>
          <cell r="AL5">
            <v>1365895871.6199999</v>
          </cell>
          <cell r="AM5">
            <v>1376010821.8299999</v>
          </cell>
          <cell r="AN5">
            <v>1379384662.24</v>
          </cell>
          <cell r="AO5">
            <v>1380967784.3299999</v>
          </cell>
          <cell r="AP5">
            <v>1387344814.55</v>
          </cell>
          <cell r="AQ5">
            <v>1399295449.5</v>
          </cell>
          <cell r="AR5">
            <v>1399609417.1800001</v>
          </cell>
          <cell r="AS5">
            <v>1402003841.02</v>
          </cell>
          <cell r="AT5">
            <v>1414377121.22</v>
          </cell>
          <cell r="AU5">
            <v>1419403427.1700001</v>
          </cell>
          <cell r="AV5">
            <v>1419263811.6700001</v>
          </cell>
          <cell r="AW5">
            <v>1434909742.95</v>
          </cell>
          <cell r="AX5">
            <v>1443639091.9200001</v>
          </cell>
          <cell r="AY5">
            <v>1445030153.6500001</v>
          </cell>
          <cell r="AZ5">
            <v>1454809795</v>
          </cell>
          <cell r="BA5">
            <v>1456901142.1099999</v>
          </cell>
          <cell r="BB5">
            <v>1485655069.6199999</v>
          </cell>
          <cell r="BC5">
            <v>1498293140.1800001</v>
          </cell>
          <cell r="BD5">
            <v>1505702373.5699999</v>
          </cell>
          <cell r="BE5">
            <v>1508978962.3499999</v>
          </cell>
          <cell r="BF5">
            <v>1521219901.6900001</v>
          </cell>
          <cell r="BG5">
            <v>1523942752.9100001</v>
          </cell>
          <cell r="BH5">
            <v>1541525532.6400001</v>
          </cell>
          <cell r="BI5">
            <v>1550361331.8800001</v>
          </cell>
          <cell r="BJ5">
            <v>1553271404.5599999</v>
          </cell>
          <cell r="BK5">
            <v>1556639342.23</v>
          </cell>
          <cell r="BL5">
            <v>1571168666.03</v>
          </cell>
          <cell r="BM5">
            <v>1574185211.3099999</v>
          </cell>
          <cell r="BN5">
            <v>1578994550.5899999</v>
          </cell>
          <cell r="BO5">
            <v>1592070662.9200001</v>
          </cell>
          <cell r="BP5">
            <v>1601334072.53</v>
          </cell>
          <cell r="BQ5">
            <v>1612685331.8900001</v>
          </cell>
          <cell r="BR5">
            <v>1638034321.6099999</v>
          </cell>
          <cell r="BS5">
            <v>1641548263.23</v>
          </cell>
          <cell r="BT5">
            <v>1645419289.0699999</v>
          </cell>
          <cell r="BU5">
            <v>1659929375.55</v>
          </cell>
          <cell r="BV5">
            <v>1675381568.55</v>
          </cell>
          <cell r="BW5">
            <v>1685840446.9200001</v>
          </cell>
          <cell r="BX5">
            <v>1719277611.5699999</v>
          </cell>
          <cell r="BY5">
            <v>1722370602.3900001</v>
          </cell>
          <cell r="BZ5">
            <v>1717543335.01</v>
          </cell>
          <cell r="CA5">
            <v>1733113857.9100001</v>
          </cell>
          <cell r="CB5">
            <v>1737708178.29</v>
          </cell>
          <cell r="CC5">
            <v>1752095483.46</v>
          </cell>
          <cell r="CD5">
            <v>1770287739.9200001</v>
          </cell>
          <cell r="CE5">
            <v>1775799561.4200001</v>
          </cell>
          <cell r="CF5">
            <v>1777592586.3900001</v>
          </cell>
          <cell r="CG5">
            <v>1800710566.9400001</v>
          </cell>
          <cell r="CH5">
            <v>1803688689.6700001</v>
          </cell>
          <cell r="CI5">
            <v>1805576868.5799999</v>
          </cell>
          <cell r="CJ5">
            <v>1869700333.79</v>
          </cell>
          <cell r="CK5">
            <v>1870076642.52</v>
          </cell>
          <cell r="CL5">
            <v>1884351946.8599999</v>
          </cell>
          <cell r="CM5">
            <v>1890043797.6800001</v>
          </cell>
          <cell r="CN5">
            <v>1901225432.47</v>
          </cell>
          <cell r="CO5">
            <v>1942744871.3299999</v>
          </cell>
          <cell r="CP5">
            <v>1968537429.01</v>
          </cell>
          <cell r="CQ5">
            <v>2043575655.5799999</v>
          </cell>
          <cell r="CR5">
            <v>2044747650.0799999</v>
          </cell>
          <cell r="CS5">
            <v>2110173824.8399999</v>
          </cell>
          <cell r="CT5">
            <v>2124604509.2</v>
          </cell>
          <cell r="CU5">
            <v>2142216450.3199999</v>
          </cell>
          <cell r="CV5">
            <v>2168081826.3699999</v>
          </cell>
          <cell r="CW5">
            <v>2183864854.3600001</v>
          </cell>
          <cell r="CX5">
            <v>2202545716.8400002</v>
          </cell>
          <cell r="CY5">
            <v>2219080125.9499998</v>
          </cell>
          <cell r="CZ5">
            <v>2225116449.6100001</v>
          </cell>
          <cell r="DA5">
            <v>2264292966.6700001</v>
          </cell>
          <cell r="DB5">
            <v>2291322008.2399998</v>
          </cell>
          <cell r="DC5">
            <v>2295822991.9899998</v>
          </cell>
          <cell r="DD5">
            <v>2296939736.1199999</v>
          </cell>
          <cell r="DE5">
            <v>2297763600.9000001</v>
          </cell>
          <cell r="DF5">
            <v>2298134153.9499998</v>
          </cell>
          <cell r="DG5">
            <v>2299277638.8899999</v>
          </cell>
          <cell r="DH5">
            <v>2346274645.8899999</v>
          </cell>
        </row>
        <row r="6">
          <cell r="A6" t="str">
            <v>1040000</v>
          </cell>
          <cell r="B6" t="str">
            <v>1040000</v>
          </cell>
          <cell r="C6" t="str">
            <v>Plant Lease to Other</v>
          </cell>
          <cell r="AF6">
            <v>0</v>
          </cell>
          <cell r="AG6">
            <v>0</v>
          </cell>
          <cell r="AH6">
            <v>9286155.6300000008</v>
          </cell>
          <cell r="AI6">
            <v>11734138</v>
          </cell>
          <cell r="AJ6">
            <v>11832383.210000001</v>
          </cell>
          <cell r="AK6">
            <v>12032563.85</v>
          </cell>
          <cell r="AL6">
            <v>12032563.85</v>
          </cell>
          <cell r="AM6">
            <v>12032563.85</v>
          </cell>
          <cell r="AN6">
            <v>12033286.029999999</v>
          </cell>
          <cell r="AO6">
            <v>12033286.029999999</v>
          </cell>
          <cell r="AP6">
            <v>12033286.029999999</v>
          </cell>
          <cell r="AQ6">
            <v>12033286.029999999</v>
          </cell>
          <cell r="AR6">
            <v>12033286.029999999</v>
          </cell>
          <cell r="AS6">
            <v>12033286.029999999</v>
          </cell>
          <cell r="AT6">
            <v>12033286.029999999</v>
          </cell>
          <cell r="AU6">
            <v>12033286.029999999</v>
          </cell>
          <cell r="AV6">
            <v>12033286.029999999</v>
          </cell>
          <cell r="AW6">
            <v>12033286.029999999</v>
          </cell>
          <cell r="AX6">
            <v>12033286.029999999</v>
          </cell>
          <cell r="AY6">
            <v>12033286.029999999</v>
          </cell>
          <cell r="AZ6">
            <v>12033286.029999999</v>
          </cell>
          <cell r="BA6">
            <v>12033286.029999999</v>
          </cell>
          <cell r="BB6">
            <v>12033286.029999999</v>
          </cell>
          <cell r="BC6">
            <v>12033286.029999999</v>
          </cell>
          <cell r="BD6">
            <v>12033286.029999999</v>
          </cell>
          <cell r="BE6">
            <v>12033286.029999999</v>
          </cell>
          <cell r="BF6">
            <v>12033286.029999999</v>
          </cell>
          <cell r="BG6">
            <v>12033286.029999999</v>
          </cell>
          <cell r="BH6">
            <v>12033286.029999999</v>
          </cell>
          <cell r="BI6">
            <v>12033286.029999999</v>
          </cell>
          <cell r="BJ6">
            <v>12033286.029999999</v>
          </cell>
          <cell r="BK6">
            <v>12033286.029999999</v>
          </cell>
          <cell r="BL6">
            <v>12033286.029999999</v>
          </cell>
          <cell r="BM6">
            <v>12033286.029999999</v>
          </cell>
          <cell r="BN6">
            <v>12033286.029999999</v>
          </cell>
          <cell r="BO6">
            <v>12033286.029999999</v>
          </cell>
          <cell r="BP6">
            <v>13128442.310000001</v>
          </cell>
          <cell r="BQ6">
            <v>13128442.310000001</v>
          </cell>
          <cell r="BR6">
            <v>13128442.310000001</v>
          </cell>
          <cell r="BS6">
            <v>13128442.310000001</v>
          </cell>
          <cell r="BT6">
            <v>13128442.310000001</v>
          </cell>
          <cell r="BU6">
            <v>13128442.310000001</v>
          </cell>
          <cell r="BV6">
            <v>13128442.310000001</v>
          </cell>
          <cell r="BW6">
            <v>13128442.310000001</v>
          </cell>
          <cell r="BX6">
            <v>13128442.310000001</v>
          </cell>
          <cell r="BY6">
            <v>13128442.310000001</v>
          </cell>
          <cell r="BZ6">
            <v>13128442.310000001</v>
          </cell>
          <cell r="CA6">
            <v>13128442.310000001</v>
          </cell>
          <cell r="CB6">
            <v>13128442.310000001</v>
          </cell>
          <cell r="CC6">
            <v>13128442.310000001</v>
          </cell>
          <cell r="CD6">
            <v>13128442.310000001</v>
          </cell>
          <cell r="CE6">
            <v>13128442.310000001</v>
          </cell>
          <cell r="CF6">
            <v>13128442.310000001</v>
          </cell>
          <cell r="CG6">
            <v>13128442.310000001</v>
          </cell>
          <cell r="CH6">
            <v>13128442.310000001</v>
          </cell>
          <cell r="CI6">
            <v>13128442.310000001</v>
          </cell>
          <cell r="CJ6">
            <v>13128442.310000001</v>
          </cell>
          <cell r="CK6">
            <v>13128442.310000001</v>
          </cell>
          <cell r="CL6">
            <v>13128442.310000001</v>
          </cell>
          <cell r="CM6">
            <v>13128442.310000001</v>
          </cell>
          <cell r="CN6">
            <v>13128442.310000001</v>
          </cell>
          <cell r="CO6">
            <v>13128442.310000001</v>
          </cell>
          <cell r="CP6">
            <v>13128442.310000001</v>
          </cell>
          <cell r="CQ6">
            <v>13128442.310000001</v>
          </cell>
          <cell r="CR6">
            <v>13128442.310000001</v>
          </cell>
          <cell r="CS6">
            <v>13128442.310000001</v>
          </cell>
          <cell r="CT6">
            <v>13128442.310000001</v>
          </cell>
          <cell r="CU6">
            <v>13128442.310000001</v>
          </cell>
          <cell r="CV6">
            <v>13128442.310000001</v>
          </cell>
          <cell r="CW6">
            <v>13128442.310000001</v>
          </cell>
          <cell r="CX6">
            <v>13128442.310000001</v>
          </cell>
          <cell r="CY6">
            <v>10382214.34</v>
          </cell>
          <cell r="CZ6">
            <v>10382214.34</v>
          </cell>
          <cell r="DA6">
            <v>10382214.34</v>
          </cell>
          <cell r="DB6">
            <v>10382214.34</v>
          </cell>
          <cell r="DC6">
            <v>2527001.42</v>
          </cell>
          <cell r="DD6">
            <v>2527001.42</v>
          </cell>
          <cell r="DE6">
            <v>2527001.42</v>
          </cell>
          <cell r="DF6">
            <v>2527001.42</v>
          </cell>
          <cell r="DG6">
            <v>2527001.42</v>
          </cell>
          <cell r="DH6">
            <v>2527001.42</v>
          </cell>
        </row>
        <row r="7">
          <cell r="A7" t="str">
            <v>1040001</v>
          </cell>
          <cell r="B7" t="str">
            <v>1040001</v>
          </cell>
          <cell r="C7" t="str">
            <v>Plant Lease-GAAP</v>
          </cell>
          <cell r="AF7">
            <v>0</v>
          </cell>
          <cell r="AG7">
            <v>0</v>
          </cell>
          <cell r="AH7">
            <v>-7851977</v>
          </cell>
          <cell r="AI7">
            <v>-7851977</v>
          </cell>
          <cell r="AJ7">
            <v>-7851977</v>
          </cell>
          <cell r="AK7">
            <v>-7851977</v>
          </cell>
          <cell r="AL7">
            <v>-7851977</v>
          </cell>
          <cell r="AM7">
            <v>-10596977</v>
          </cell>
          <cell r="AN7">
            <v>-10596977</v>
          </cell>
          <cell r="AO7">
            <v>-10596977</v>
          </cell>
          <cell r="AP7">
            <v>-10596977</v>
          </cell>
          <cell r="AQ7">
            <v>-10596977</v>
          </cell>
          <cell r="AR7">
            <v>-10596977</v>
          </cell>
          <cell r="AS7">
            <v>-10596977</v>
          </cell>
          <cell r="AT7">
            <v>-10596977</v>
          </cell>
          <cell r="AU7">
            <v>-10596977</v>
          </cell>
          <cell r="AV7">
            <v>-10596977</v>
          </cell>
          <cell r="AW7">
            <v>-10596977</v>
          </cell>
          <cell r="AX7">
            <v>-10596977</v>
          </cell>
          <cell r="AY7">
            <v>-10596977</v>
          </cell>
          <cell r="AZ7">
            <v>-10596977</v>
          </cell>
          <cell r="BA7">
            <v>-10596977</v>
          </cell>
          <cell r="BB7">
            <v>-10596977</v>
          </cell>
          <cell r="BC7">
            <v>-10596977</v>
          </cell>
          <cell r="BD7">
            <v>-10596977</v>
          </cell>
          <cell r="BE7">
            <v>-10596977</v>
          </cell>
          <cell r="BF7">
            <v>-10596977</v>
          </cell>
          <cell r="BG7">
            <v>-10596977</v>
          </cell>
          <cell r="BH7">
            <v>-10596977</v>
          </cell>
          <cell r="BI7">
            <v>-10596977</v>
          </cell>
          <cell r="BJ7">
            <v>-10596977</v>
          </cell>
          <cell r="BK7">
            <v>-10596977</v>
          </cell>
          <cell r="BL7">
            <v>-10596977</v>
          </cell>
          <cell r="BM7">
            <v>-10596977</v>
          </cell>
          <cell r="BN7">
            <v>-10596977</v>
          </cell>
          <cell r="BO7">
            <v>-10596977</v>
          </cell>
          <cell r="BP7">
            <v>-10596977</v>
          </cell>
          <cell r="BQ7">
            <v>-10596977</v>
          </cell>
          <cell r="BR7">
            <v>-10596977</v>
          </cell>
          <cell r="BS7">
            <v>-10596977</v>
          </cell>
          <cell r="BT7">
            <v>-10596977</v>
          </cell>
          <cell r="BU7">
            <v>-10596977</v>
          </cell>
          <cell r="BV7">
            <v>-10596977</v>
          </cell>
          <cell r="BW7">
            <v>-10596977</v>
          </cell>
          <cell r="BX7">
            <v>-10596977</v>
          </cell>
          <cell r="BY7">
            <v>-10596977</v>
          </cell>
          <cell r="BZ7">
            <v>-10596977</v>
          </cell>
          <cell r="CA7">
            <v>-10596977</v>
          </cell>
          <cell r="CB7">
            <v>-10596977</v>
          </cell>
          <cell r="CC7">
            <v>-10596977</v>
          </cell>
          <cell r="CD7">
            <v>-10596977</v>
          </cell>
          <cell r="CE7">
            <v>-10596977</v>
          </cell>
          <cell r="CF7">
            <v>-10596977</v>
          </cell>
          <cell r="CG7">
            <v>-10596977</v>
          </cell>
          <cell r="CH7">
            <v>-10596977</v>
          </cell>
          <cell r="CI7">
            <v>-10596977</v>
          </cell>
          <cell r="CJ7">
            <v>-10596977</v>
          </cell>
          <cell r="CK7">
            <v>-10596977</v>
          </cell>
          <cell r="CL7">
            <v>-10596977</v>
          </cell>
          <cell r="CM7">
            <v>-10596977</v>
          </cell>
          <cell r="CN7">
            <v>-10596977</v>
          </cell>
          <cell r="CO7">
            <v>-10596977</v>
          </cell>
          <cell r="CP7">
            <v>-10596977</v>
          </cell>
          <cell r="CQ7">
            <v>-10596977</v>
          </cell>
          <cell r="CR7">
            <v>-10596977</v>
          </cell>
          <cell r="CS7">
            <v>-10596977</v>
          </cell>
          <cell r="CT7">
            <v>-10596977</v>
          </cell>
          <cell r="CU7">
            <v>-10596977</v>
          </cell>
          <cell r="CV7">
            <v>-10596977</v>
          </cell>
          <cell r="CW7">
            <v>-10596977</v>
          </cell>
          <cell r="CX7">
            <v>-10596977</v>
          </cell>
          <cell r="CY7">
            <v>-7851977</v>
          </cell>
          <cell r="CZ7">
            <v>-7851977</v>
          </cell>
          <cell r="DA7">
            <v>-7851977</v>
          </cell>
          <cell r="DB7">
            <v>-7851977</v>
          </cell>
          <cell r="DC7">
            <v>0</v>
          </cell>
          <cell r="DD7">
            <v>0</v>
          </cell>
          <cell r="DE7">
            <v>0</v>
          </cell>
          <cell r="DF7">
            <v>0</v>
          </cell>
          <cell r="DG7">
            <v>0</v>
          </cell>
          <cell r="DH7">
            <v>0</v>
          </cell>
        </row>
        <row r="8">
          <cell r="A8" t="str">
            <v>1050000</v>
          </cell>
          <cell r="B8" t="str">
            <v>1050000</v>
          </cell>
          <cell r="C8" t="str">
            <v>Plnt Held Future Use</v>
          </cell>
          <cell r="D8">
            <v>1937574.45</v>
          </cell>
          <cell r="E8">
            <v>1939551.55</v>
          </cell>
          <cell r="F8">
            <v>1939551.55</v>
          </cell>
          <cell r="G8">
            <v>2983016.36</v>
          </cell>
          <cell r="H8">
            <v>2983016.36</v>
          </cell>
          <cell r="I8">
            <v>2983016.36</v>
          </cell>
          <cell r="J8">
            <v>2983016.36</v>
          </cell>
          <cell r="K8">
            <v>2983016.36</v>
          </cell>
          <cell r="L8">
            <v>2983016.36</v>
          </cell>
          <cell r="M8">
            <v>2983016.36</v>
          </cell>
          <cell r="N8">
            <v>2983066.99</v>
          </cell>
          <cell r="O8">
            <v>2983066.99</v>
          </cell>
          <cell r="P8">
            <v>2984633.79</v>
          </cell>
          <cell r="Q8">
            <v>2984633.79</v>
          </cell>
          <cell r="R8">
            <v>2984633.79</v>
          </cell>
          <cell r="S8">
            <v>2984633.79</v>
          </cell>
          <cell r="T8">
            <v>2984633.79</v>
          </cell>
          <cell r="U8">
            <v>2984633.79</v>
          </cell>
          <cell r="V8">
            <v>1939551.55</v>
          </cell>
          <cell r="W8">
            <v>1939551.55</v>
          </cell>
          <cell r="X8">
            <v>1939551.55</v>
          </cell>
          <cell r="Y8">
            <v>1939551.55</v>
          </cell>
          <cell r="Z8">
            <v>1939551.55</v>
          </cell>
          <cell r="AA8">
            <v>1939551.55</v>
          </cell>
          <cell r="AB8">
            <v>1939551.55</v>
          </cell>
          <cell r="AC8">
            <v>1939551.55</v>
          </cell>
          <cell r="AD8">
            <v>1939551.55</v>
          </cell>
          <cell r="AE8">
            <v>1939551.55</v>
          </cell>
          <cell r="AF8">
            <v>1939551.55</v>
          </cell>
          <cell r="AG8">
            <v>1939551.55</v>
          </cell>
          <cell r="AH8">
            <v>1939551.55</v>
          </cell>
          <cell r="AI8">
            <v>1939551.55</v>
          </cell>
          <cell r="AJ8">
            <v>1939551.55</v>
          </cell>
          <cell r="AK8">
            <v>1939551.55</v>
          </cell>
          <cell r="AL8">
            <v>1939551.55</v>
          </cell>
          <cell r="AM8">
            <v>1939551.55</v>
          </cell>
          <cell r="AN8">
            <v>1939551.55</v>
          </cell>
          <cell r="AO8">
            <v>1939551.55</v>
          </cell>
          <cell r="AP8">
            <v>1939551.55</v>
          </cell>
          <cell r="AQ8">
            <v>1939551.55</v>
          </cell>
          <cell r="AR8">
            <v>1939551.55</v>
          </cell>
          <cell r="AS8">
            <v>1939551.55</v>
          </cell>
          <cell r="AT8">
            <v>1939551.55</v>
          </cell>
          <cell r="AU8">
            <v>1939551.55</v>
          </cell>
          <cell r="AV8">
            <v>1939551.55</v>
          </cell>
          <cell r="AW8">
            <v>1939551.55</v>
          </cell>
          <cell r="AX8">
            <v>1939551.55</v>
          </cell>
          <cell r="AY8">
            <v>1939551.55</v>
          </cell>
          <cell r="AZ8">
            <v>1939551.55</v>
          </cell>
          <cell r="BA8">
            <v>1939551.55</v>
          </cell>
          <cell r="BB8">
            <v>1939551.55</v>
          </cell>
          <cell r="BC8">
            <v>1939551.55</v>
          </cell>
          <cell r="BD8">
            <v>1939551.55</v>
          </cell>
          <cell r="BE8">
            <v>1939551.55</v>
          </cell>
          <cell r="BF8">
            <v>1939551.55</v>
          </cell>
          <cell r="BG8">
            <v>1939551.55</v>
          </cell>
          <cell r="BH8">
            <v>1939551.55</v>
          </cell>
          <cell r="BI8">
            <v>1939551.55</v>
          </cell>
          <cell r="BJ8">
            <v>1939551.55</v>
          </cell>
          <cell r="BK8">
            <v>1939551.55</v>
          </cell>
          <cell r="BL8">
            <v>1939551.55</v>
          </cell>
          <cell r="BM8">
            <v>1939551.55</v>
          </cell>
          <cell r="BN8">
            <v>1939551.55</v>
          </cell>
          <cell r="BO8">
            <v>1939551.55</v>
          </cell>
          <cell r="BP8">
            <v>1939551.55</v>
          </cell>
          <cell r="BQ8">
            <v>1939551.55</v>
          </cell>
          <cell r="BR8">
            <v>1939551.55</v>
          </cell>
          <cell r="BS8">
            <v>1939551.55</v>
          </cell>
          <cell r="BT8">
            <v>1939551.55</v>
          </cell>
          <cell r="BU8">
            <v>1939551.55</v>
          </cell>
          <cell r="BV8">
            <v>1939551.55</v>
          </cell>
          <cell r="BW8">
            <v>1939551.55</v>
          </cell>
          <cell r="BX8">
            <v>1939551.55</v>
          </cell>
          <cell r="BY8">
            <v>1939551.55</v>
          </cell>
          <cell r="BZ8">
            <v>1939551.55</v>
          </cell>
          <cell r="CA8">
            <v>1939551.55</v>
          </cell>
          <cell r="CB8">
            <v>1939551.55</v>
          </cell>
          <cell r="CC8">
            <v>1939551.55</v>
          </cell>
          <cell r="CD8">
            <v>1939551.55</v>
          </cell>
          <cell r="CE8">
            <v>1939551.55</v>
          </cell>
          <cell r="CF8">
            <v>1939551.55</v>
          </cell>
          <cell r="CG8">
            <v>1939551.55</v>
          </cell>
          <cell r="CH8">
            <v>1939551.55</v>
          </cell>
          <cell r="CI8">
            <v>1939551.55</v>
          </cell>
          <cell r="CJ8">
            <v>1939551.55</v>
          </cell>
          <cell r="CK8">
            <v>1939551.55</v>
          </cell>
          <cell r="CL8">
            <v>1939551.55</v>
          </cell>
          <cell r="CM8">
            <v>1939551.55</v>
          </cell>
          <cell r="CN8">
            <v>1939551.55</v>
          </cell>
          <cell r="CO8">
            <v>1939551.55</v>
          </cell>
          <cell r="CP8">
            <v>1939551.55</v>
          </cell>
          <cell r="CQ8">
            <v>1939551.55</v>
          </cell>
          <cell r="CR8">
            <v>1939551.55</v>
          </cell>
          <cell r="CS8">
            <v>1939551.55</v>
          </cell>
          <cell r="CT8">
            <v>1939551.55</v>
          </cell>
          <cell r="CU8">
            <v>1939551.55</v>
          </cell>
          <cell r="CV8">
            <v>1939551.55</v>
          </cell>
          <cell r="CW8">
            <v>1939551.55</v>
          </cell>
          <cell r="CX8">
            <v>1939551.55</v>
          </cell>
          <cell r="CY8">
            <v>1939551.55</v>
          </cell>
          <cell r="CZ8">
            <v>1939551.55</v>
          </cell>
          <cell r="DA8">
            <v>1939551.55</v>
          </cell>
          <cell r="DB8">
            <v>1939551.55</v>
          </cell>
          <cell r="DC8">
            <v>1939551.55</v>
          </cell>
          <cell r="DD8">
            <v>1939551.55</v>
          </cell>
          <cell r="DE8">
            <v>1939551.55</v>
          </cell>
          <cell r="DF8">
            <v>1939551.55</v>
          </cell>
          <cell r="DG8">
            <v>1939551.55</v>
          </cell>
          <cell r="DH8">
            <v>1939551.55</v>
          </cell>
        </row>
        <row r="9">
          <cell r="A9" t="str">
            <v>1060000</v>
          </cell>
          <cell r="B9" t="str">
            <v>1060000</v>
          </cell>
          <cell r="C9" t="str">
            <v>Comp Cnstr not Clsfd</v>
          </cell>
          <cell r="D9">
            <v>55155772.07</v>
          </cell>
          <cell r="E9">
            <v>59777134.939999998</v>
          </cell>
          <cell r="F9">
            <v>59522741.600000001</v>
          </cell>
          <cell r="G9">
            <v>59811525.289999999</v>
          </cell>
          <cell r="H9">
            <v>60269073.789999999</v>
          </cell>
          <cell r="I9">
            <v>60378387.729999997</v>
          </cell>
          <cell r="J9">
            <v>54234691.420000002</v>
          </cell>
          <cell r="K9">
            <v>53319052.539999999</v>
          </cell>
          <cell r="L9">
            <v>55502445.530000001</v>
          </cell>
          <cell r="M9">
            <v>59575230</v>
          </cell>
          <cell r="N9">
            <v>63821406.780000001</v>
          </cell>
          <cell r="O9">
            <v>65705035.090000004</v>
          </cell>
          <cell r="P9">
            <v>65158239.32</v>
          </cell>
          <cell r="Q9">
            <v>64389407.079999998</v>
          </cell>
          <cell r="R9">
            <v>68828252.959999993</v>
          </cell>
          <cell r="S9">
            <v>64965719.759999998</v>
          </cell>
          <cell r="T9">
            <v>72489418</v>
          </cell>
          <cell r="U9">
            <v>72631177.180000007</v>
          </cell>
          <cell r="V9">
            <v>80039720.680000007</v>
          </cell>
          <cell r="W9">
            <v>78249525.939999998</v>
          </cell>
          <cell r="X9">
            <v>79646995.340000004</v>
          </cell>
          <cell r="Y9">
            <v>83186059.040000007</v>
          </cell>
          <cell r="Z9">
            <v>87491897.939999998</v>
          </cell>
          <cell r="AA9">
            <v>91246711.870000005</v>
          </cell>
          <cell r="AB9">
            <v>86192242.730000004</v>
          </cell>
          <cell r="AC9">
            <v>94491003.510000005</v>
          </cell>
          <cell r="AD9">
            <v>95210306.680000007</v>
          </cell>
          <cell r="AE9">
            <v>90134370.25</v>
          </cell>
          <cell r="AF9">
            <v>89673217.290000007</v>
          </cell>
          <cell r="AG9">
            <v>88170581.299999997</v>
          </cell>
          <cell r="AH9">
            <v>101902285.98</v>
          </cell>
          <cell r="AI9">
            <v>97464103.069999993</v>
          </cell>
          <cell r="AJ9">
            <v>94939397.230000004</v>
          </cell>
          <cell r="AK9">
            <v>94936476.810000002</v>
          </cell>
          <cell r="AL9">
            <v>106629096.68000001</v>
          </cell>
          <cell r="AM9">
            <v>103796910.95</v>
          </cell>
          <cell r="AN9">
            <v>116017760.18000001</v>
          </cell>
          <cell r="AO9">
            <v>123478325.7</v>
          </cell>
          <cell r="AP9">
            <v>123104497.54000001</v>
          </cell>
          <cell r="AQ9">
            <v>121594992.75</v>
          </cell>
          <cell r="AR9">
            <v>126843059.06</v>
          </cell>
          <cell r="AS9">
            <v>130438687.8</v>
          </cell>
          <cell r="AT9">
            <v>124575686.33</v>
          </cell>
          <cell r="AU9">
            <v>126774655.27</v>
          </cell>
          <cell r="AV9">
            <v>137418686.12</v>
          </cell>
          <cell r="AW9">
            <v>137030683.94</v>
          </cell>
          <cell r="AX9">
            <v>139217028.97</v>
          </cell>
          <cell r="AY9">
            <v>145683536.13999999</v>
          </cell>
          <cell r="AZ9">
            <v>146308565.94</v>
          </cell>
          <cell r="BA9">
            <v>157102252.53999999</v>
          </cell>
          <cell r="BB9">
            <v>135334145.16999999</v>
          </cell>
          <cell r="BC9">
            <v>134638092.81</v>
          </cell>
          <cell r="BD9">
            <v>134348672.25</v>
          </cell>
          <cell r="BE9">
            <v>147286293.41999999</v>
          </cell>
          <cell r="BF9">
            <v>142572224.63</v>
          </cell>
          <cell r="BG9">
            <v>148353060.91999999</v>
          </cell>
          <cell r="BH9">
            <v>140643217.83000001</v>
          </cell>
          <cell r="BI9">
            <v>138692376.77000001</v>
          </cell>
          <cell r="BJ9">
            <v>147018174.91</v>
          </cell>
          <cell r="BK9">
            <v>170081630.19999999</v>
          </cell>
          <cell r="BL9">
            <v>178863957</v>
          </cell>
          <cell r="BM9">
            <v>187836788.50999999</v>
          </cell>
          <cell r="BN9">
            <v>201744680.5</v>
          </cell>
          <cell r="BO9">
            <v>205080951.90000001</v>
          </cell>
          <cell r="BP9">
            <v>206811472.78999999</v>
          </cell>
          <cell r="BQ9">
            <v>208625228.19</v>
          </cell>
          <cell r="BR9">
            <v>198920933.38999999</v>
          </cell>
          <cell r="BS9">
            <v>207592067.80000001</v>
          </cell>
          <cell r="BT9">
            <v>212178321.44</v>
          </cell>
          <cell r="BU9">
            <v>216700510.66999999</v>
          </cell>
          <cell r="BV9">
            <v>212255031.72999999</v>
          </cell>
          <cell r="BW9">
            <v>225486245.28999999</v>
          </cell>
          <cell r="BX9">
            <v>208469489.09</v>
          </cell>
          <cell r="BY9">
            <v>214740525.37</v>
          </cell>
          <cell r="BZ9">
            <v>233879588.15000001</v>
          </cell>
          <cell r="CA9">
            <v>236630022.56</v>
          </cell>
          <cell r="CB9">
            <v>245175601.69999999</v>
          </cell>
          <cell r="CC9">
            <v>243003938.44</v>
          </cell>
          <cell r="CD9">
            <v>239387266.99000001</v>
          </cell>
          <cell r="CE9">
            <v>244937641.88</v>
          </cell>
          <cell r="CF9">
            <v>262835663.27000001</v>
          </cell>
          <cell r="CG9">
            <v>255783925.18000001</v>
          </cell>
          <cell r="CH9">
            <v>331089860.20999998</v>
          </cell>
          <cell r="CI9">
            <v>349864270.37</v>
          </cell>
          <cell r="CJ9">
            <v>307437320.20999998</v>
          </cell>
          <cell r="CK9">
            <v>327435776.81</v>
          </cell>
          <cell r="CL9">
            <v>320782810.11000001</v>
          </cell>
          <cell r="CM9">
            <v>334363018.18000001</v>
          </cell>
          <cell r="CN9">
            <v>398104794.31999999</v>
          </cell>
          <cell r="CO9">
            <v>370986194.32999998</v>
          </cell>
          <cell r="CP9">
            <v>357640735.67000002</v>
          </cell>
          <cell r="CQ9">
            <v>292578511.06</v>
          </cell>
          <cell r="CR9">
            <v>302547183.81999999</v>
          </cell>
          <cell r="CS9">
            <v>247163875.91999999</v>
          </cell>
          <cell r="CT9">
            <v>243388959.18000001</v>
          </cell>
          <cell r="CU9">
            <v>300047316.99000001</v>
          </cell>
          <cell r="CV9">
            <v>297505685.51999998</v>
          </cell>
          <cell r="CW9">
            <v>293670988.24000001</v>
          </cell>
          <cell r="CX9">
            <v>294694023.07999998</v>
          </cell>
          <cell r="CY9">
            <v>290733193.19999999</v>
          </cell>
          <cell r="CZ9">
            <v>302344491.98000002</v>
          </cell>
          <cell r="DA9">
            <v>283595429.08999997</v>
          </cell>
          <cell r="DB9">
            <v>272186852.60000002</v>
          </cell>
          <cell r="DC9">
            <v>279198375.10000002</v>
          </cell>
          <cell r="DD9">
            <v>293707332.66000003</v>
          </cell>
          <cell r="DE9">
            <v>304307169.75</v>
          </cell>
          <cell r="DF9">
            <v>359987415.35000002</v>
          </cell>
          <cell r="DG9">
            <v>371496189.58999997</v>
          </cell>
          <cell r="DH9">
            <v>331968650.48000002</v>
          </cell>
        </row>
        <row r="10">
          <cell r="A10" t="str">
            <v>1070000</v>
          </cell>
          <cell r="B10" t="str">
            <v>1070000</v>
          </cell>
          <cell r="C10" t="str">
            <v>CWIP</v>
          </cell>
          <cell r="D10">
            <v>37999178.799999997</v>
          </cell>
          <cell r="E10">
            <v>35807420.920000002</v>
          </cell>
          <cell r="F10">
            <v>39501441.969999999</v>
          </cell>
          <cell r="G10">
            <v>40111903.259999998</v>
          </cell>
          <cell r="H10">
            <v>40338458.479999997</v>
          </cell>
          <cell r="I10">
            <v>42218897.460000001</v>
          </cell>
          <cell r="J10">
            <v>45750443.969999999</v>
          </cell>
          <cell r="K10">
            <v>40929057.259999998</v>
          </cell>
          <cell r="L10">
            <v>43483994.240000002</v>
          </cell>
          <cell r="M10">
            <v>44285914.039999999</v>
          </cell>
          <cell r="N10">
            <v>40392561.509999998</v>
          </cell>
          <cell r="O10">
            <v>40115222.409999996</v>
          </cell>
          <cell r="P10">
            <v>46635954.68</v>
          </cell>
          <cell r="Q10">
            <v>46972143.590000004</v>
          </cell>
          <cell r="R10">
            <v>42466526.619999997</v>
          </cell>
          <cell r="S10">
            <v>44747851.289999999</v>
          </cell>
          <cell r="T10">
            <v>34317936.780000001</v>
          </cell>
          <cell r="U10">
            <v>31350733.390000001</v>
          </cell>
          <cell r="V10">
            <v>23330873.239999998</v>
          </cell>
          <cell r="W10">
            <v>26918285.91</v>
          </cell>
          <cell r="X10">
            <v>28581241</v>
          </cell>
          <cell r="Y10">
            <v>27609368.649999999</v>
          </cell>
          <cell r="Z10">
            <v>30037295.84</v>
          </cell>
          <cell r="AA10">
            <v>31116400.140000001</v>
          </cell>
          <cell r="AB10">
            <v>32173444.620000001</v>
          </cell>
          <cell r="AC10">
            <v>26347085.84</v>
          </cell>
          <cell r="AD10">
            <v>34957213.460000001</v>
          </cell>
          <cell r="AE10">
            <v>38950809.469999999</v>
          </cell>
          <cell r="AF10">
            <v>40408048.75</v>
          </cell>
          <cell r="AG10">
            <v>47638018.75</v>
          </cell>
          <cell r="AH10">
            <v>31292455.239999998</v>
          </cell>
          <cell r="AI10">
            <v>31457023.140000001</v>
          </cell>
          <cell r="AJ10">
            <v>32878080.420000002</v>
          </cell>
          <cell r="AK10">
            <v>39114341.969999999</v>
          </cell>
          <cell r="AL10">
            <v>30953975.800000001</v>
          </cell>
          <cell r="AM10">
            <v>33838173.210000001</v>
          </cell>
          <cell r="AN10">
            <v>27484714.870000001</v>
          </cell>
          <cell r="AO10">
            <v>23589092.920000002</v>
          </cell>
          <cell r="AP10">
            <v>25860519.969999999</v>
          </cell>
          <cell r="AQ10">
            <v>22431305.52</v>
          </cell>
          <cell r="AR10">
            <v>19601495.550000001</v>
          </cell>
          <cell r="AS10">
            <v>22896680.879999999</v>
          </cell>
          <cell r="AT10">
            <v>23021023.920000002</v>
          </cell>
          <cell r="AU10">
            <v>24466916.82</v>
          </cell>
          <cell r="AV10">
            <v>26444168.329999998</v>
          </cell>
          <cell r="AW10">
            <v>19059484.760000002</v>
          </cell>
          <cell r="AX10">
            <v>18962145</v>
          </cell>
          <cell r="AY10">
            <v>20898478.719999999</v>
          </cell>
          <cell r="AZ10">
            <v>22182235.109999999</v>
          </cell>
          <cell r="BA10">
            <v>18556747.960000001</v>
          </cell>
          <cell r="BB10">
            <v>20715951.399999999</v>
          </cell>
          <cell r="BC10">
            <v>22686371.66</v>
          </cell>
          <cell r="BD10">
            <v>24764408.57</v>
          </cell>
          <cell r="BE10">
            <v>22852997.649999999</v>
          </cell>
          <cell r="BF10">
            <v>25749403.039999999</v>
          </cell>
          <cell r="BG10">
            <v>27787371.550000001</v>
          </cell>
          <cell r="BH10">
            <v>32937378.98</v>
          </cell>
          <cell r="BI10">
            <v>42024779.399999999</v>
          </cell>
          <cell r="BJ10">
            <v>49273450.009999998</v>
          </cell>
          <cell r="BK10">
            <v>40575117.020000003</v>
          </cell>
          <cell r="BL10">
            <v>32694180.890000001</v>
          </cell>
          <cell r="BM10">
            <v>37233262.219999999</v>
          </cell>
          <cell r="BN10">
            <v>30935389.949999999</v>
          </cell>
          <cell r="BO10">
            <v>31118917.460000001</v>
          </cell>
          <cell r="BP10">
            <v>32041115.710000001</v>
          </cell>
          <cell r="BQ10">
            <v>37503290.119999997</v>
          </cell>
          <cell r="BR10">
            <v>39013136.270000003</v>
          </cell>
          <cell r="BS10">
            <v>43393050.829999998</v>
          </cell>
          <cell r="BT10">
            <v>55128154.759999998</v>
          </cell>
          <cell r="BU10">
            <v>55798695.200000003</v>
          </cell>
          <cell r="BV10">
            <v>62985742.700000003</v>
          </cell>
          <cell r="BW10">
            <v>59495069.460000001</v>
          </cell>
          <cell r="BX10">
            <v>71222206.430000007</v>
          </cell>
          <cell r="BY10">
            <v>87383269.209999993</v>
          </cell>
          <cell r="BZ10">
            <v>89788572.590000004</v>
          </cell>
          <cell r="CA10">
            <v>92714028.870000005</v>
          </cell>
          <cell r="CB10">
            <v>105186283.93000001</v>
          </cell>
          <cell r="CC10">
            <v>119487898.45</v>
          </cell>
          <cell r="CD10">
            <v>129123895.42</v>
          </cell>
          <cell r="CE10">
            <v>142981953.91999999</v>
          </cell>
          <cell r="CF10">
            <v>160185910.00999999</v>
          </cell>
          <cell r="CG10">
            <v>169862754.34</v>
          </cell>
          <cell r="CH10">
            <v>123028338.83</v>
          </cell>
          <cell r="CI10">
            <v>131449528.66</v>
          </cell>
          <cell r="CJ10">
            <v>140807877.94999999</v>
          </cell>
          <cell r="CK10">
            <v>142689499.03</v>
          </cell>
          <cell r="CL10">
            <v>158270839.91</v>
          </cell>
          <cell r="CM10">
            <v>168655143.25</v>
          </cell>
          <cell r="CN10">
            <v>116700530.19</v>
          </cell>
          <cell r="CO10">
            <v>118593709.79000001</v>
          </cell>
          <cell r="CP10">
            <v>130442949.62</v>
          </cell>
          <cell r="CQ10">
            <v>145786057.19</v>
          </cell>
          <cell r="CR10">
            <v>159472172.24000001</v>
          </cell>
          <cell r="CS10">
            <v>174423907.46000001</v>
          </cell>
          <cell r="CT10">
            <v>191413442.62</v>
          </cell>
          <cell r="CU10">
            <v>142092425.80000001</v>
          </cell>
          <cell r="CV10">
            <v>147483849.61000001</v>
          </cell>
          <cell r="CW10">
            <v>158111229.03999999</v>
          </cell>
          <cell r="CX10">
            <v>162199578.15000001</v>
          </cell>
          <cell r="CY10">
            <v>174470939.97</v>
          </cell>
          <cell r="CZ10">
            <v>184225626.90000001</v>
          </cell>
          <cell r="DA10">
            <v>188333223.03999999</v>
          </cell>
          <cell r="DB10">
            <v>201983440.96000001</v>
          </cell>
          <cell r="DC10">
            <v>212538815.99000001</v>
          </cell>
          <cell r="DD10">
            <v>225280632.13</v>
          </cell>
          <cell r="DE10">
            <v>235379560.06999999</v>
          </cell>
          <cell r="DF10">
            <v>200850235.99000001</v>
          </cell>
          <cell r="DG10">
            <v>210666560.53999999</v>
          </cell>
          <cell r="DH10">
            <v>246108951.69999999</v>
          </cell>
        </row>
        <row r="11">
          <cell r="A11" t="str">
            <v>1080000</v>
          </cell>
          <cell r="B11" t="str">
            <v>1080000</v>
          </cell>
          <cell r="C11" t="str">
            <v>Accum Depreciation</v>
          </cell>
          <cell r="D11">
            <v>-597208178.04999995</v>
          </cell>
          <cell r="E11">
            <v>-592509311.39999998</v>
          </cell>
          <cell r="F11">
            <v>-595908048.98000002</v>
          </cell>
          <cell r="G11">
            <v>-599418150.00999999</v>
          </cell>
          <cell r="H11">
            <v>-603256827.03999996</v>
          </cell>
          <cell r="I11">
            <v>-606600008.27999997</v>
          </cell>
          <cell r="J11">
            <v>-610070200.69000006</v>
          </cell>
          <cell r="K11">
            <v>-613707624.03999996</v>
          </cell>
          <cell r="L11">
            <v>-617772110.08000004</v>
          </cell>
          <cell r="M11">
            <v>-621209354.09000003</v>
          </cell>
          <cell r="N11">
            <v>-624961167.44000006</v>
          </cell>
          <cell r="O11">
            <v>-628795738.15999997</v>
          </cell>
          <cell r="P11">
            <v>-633220786.64999998</v>
          </cell>
          <cell r="Q11">
            <v>-636284836.04999995</v>
          </cell>
          <cell r="R11">
            <v>-632257740.25999999</v>
          </cell>
          <cell r="S11">
            <v>-635762272.91999996</v>
          </cell>
          <cell r="T11">
            <v>-639827062.34000003</v>
          </cell>
          <cell r="U11">
            <v>-643141549.57000005</v>
          </cell>
          <cell r="V11">
            <v>-647276388.01999998</v>
          </cell>
          <cell r="W11">
            <v>-651791048.07000005</v>
          </cell>
          <cell r="X11">
            <v>-656400200.85000002</v>
          </cell>
          <cell r="Y11">
            <v>-661025209.54999995</v>
          </cell>
          <cell r="Z11">
            <v>-665759307.74000001</v>
          </cell>
          <cell r="AA11">
            <v>-670459565.41999996</v>
          </cell>
          <cell r="AB11">
            <v>-672064704.14999998</v>
          </cell>
          <cell r="AC11">
            <v>-676480501.44000006</v>
          </cell>
          <cell r="AD11">
            <v>-681119110.76999998</v>
          </cell>
          <cell r="AE11">
            <v>-684493394.60000002</v>
          </cell>
          <cell r="AF11">
            <v>-688949454.35000002</v>
          </cell>
          <cell r="AG11">
            <v>-693510562.95000005</v>
          </cell>
          <cell r="AH11">
            <v>-693182497.40999997</v>
          </cell>
          <cell r="AI11">
            <v>-697440570.17999995</v>
          </cell>
          <cell r="AJ11">
            <v>-701354831.95000005</v>
          </cell>
          <cell r="AK11">
            <v>-705482736.32000005</v>
          </cell>
          <cell r="AL11">
            <v>-709669546.79999995</v>
          </cell>
          <cell r="AM11">
            <v>-714151822.33000004</v>
          </cell>
          <cell r="AN11">
            <v>-696231457.83000004</v>
          </cell>
          <cell r="AO11">
            <v>-699359972.00999999</v>
          </cell>
          <cell r="AP11">
            <v>-702639485.67999995</v>
          </cell>
          <cell r="AQ11">
            <v>-703734692.99000001</v>
          </cell>
          <cell r="AR11">
            <v>-702713626.04999995</v>
          </cell>
          <cell r="AS11">
            <v>-705623877.79999995</v>
          </cell>
          <cell r="AT11">
            <v>-707442762.88</v>
          </cell>
          <cell r="AU11">
            <v>-709944965.30999994</v>
          </cell>
          <cell r="AV11">
            <v>-712909788.75999999</v>
          </cell>
          <cell r="AW11">
            <v>-714501123.39999998</v>
          </cell>
          <cell r="AX11">
            <v>-717214015.63999999</v>
          </cell>
          <cell r="AY11">
            <v>-721040598.99000001</v>
          </cell>
          <cell r="AZ11">
            <v>-721926119.83000004</v>
          </cell>
          <cell r="BA11">
            <v>-725822855.33000004</v>
          </cell>
          <cell r="BB11">
            <v>-728967555.46000004</v>
          </cell>
          <cell r="BC11">
            <v>-731607057.05999994</v>
          </cell>
          <cell r="BD11">
            <v>-735299762.21000004</v>
          </cell>
          <cell r="BE11">
            <v>-739136592.61000001</v>
          </cell>
          <cell r="BF11">
            <v>-742049200.66999996</v>
          </cell>
          <cell r="BG11">
            <v>-746185618</v>
          </cell>
          <cell r="BH11">
            <v>-749684606.33000004</v>
          </cell>
          <cell r="BI11">
            <v>-753040832.35000002</v>
          </cell>
          <cell r="BJ11">
            <v>-756678463.49000001</v>
          </cell>
          <cell r="BK11">
            <v>-760912458.79999995</v>
          </cell>
          <cell r="BL11">
            <v>-763366539.32000005</v>
          </cell>
          <cell r="BM11">
            <v>-766550564.46000004</v>
          </cell>
          <cell r="BN11">
            <v>-769130556.19000006</v>
          </cell>
          <cell r="BO11">
            <v>-771764544.87</v>
          </cell>
          <cell r="BP11">
            <v>-774392034.46000004</v>
          </cell>
          <cell r="BQ11">
            <v>-776788459.66999996</v>
          </cell>
          <cell r="BR11">
            <v>-777273857.89999998</v>
          </cell>
          <cell r="BS11">
            <v>-779663833.38</v>
          </cell>
          <cell r="BT11">
            <v>-783042629.38</v>
          </cell>
          <cell r="BU11">
            <v>-786565650.84000003</v>
          </cell>
          <cell r="BV11">
            <v>-789234015.55999994</v>
          </cell>
          <cell r="BW11">
            <v>-792658305.40999997</v>
          </cell>
          <cell r="BX11">
            <v>-792260827.19000006</v>
          </cell>
          <cell r="BY11">
            <v>-794749524.52999997</v>
          </cell>
          <cell r="BZ11">
            <v>-798094187.41999996</v>
          </cell>
          <cell r="CA11">
            <v>-801441902.24000001</v>
          </cell>
          <cell r="CB11">
            <v>-804632969.15999997</v>
          </cell>
          <cell r="CC11">
            <v>-807458306.64999998</v>
          </cell>
          <cell r="CD11">
            <v>-809022082.59000003</v>
          </cell>
          <cell r="CE11">
            <v>-812000239.71000004</v>
          </cell>
          <cell r="CF11">
            <v>-815873730.60000002</v>
          </cell>
          <cell r="CG11">
            <v>-818684472.36000001</v>
          </cell>
          <cell r="CH11">
            <v>-822505628.75999999</v>
          </cell>
          <cell r="CI11">
            <v>-826628034.94000006</v>
          </cell>
          <cell r="CJ11">
            <v>-824194814.04999995</v>
          </cell>
          <cell r="CK11">
            <v>-828540635.38</v>
          </cell>
          <cell r="CL11">
            <v>-828942212.5</v>
          </cell>
          <cell r="CM11">
            <v>-833319226.66999996</v>
          </cell>
          <cell r="CN11">
            <v>-837034956.15999997</v>
          </cell>
          <cell r="CO11">
            <v>-841539104.87</v>
          </cell>
          <cell r="CP11">
            <v>-845169155.41999996</v>
          </cell>
          <cell r="CQ11">
            <v>-849611542.49000001</v>
          </cell>
          <cell r="CR11">
            <v>-854339992.46000004</v>
          </cell>
          <cell r="CS11">
            <v>-857331156.26999998</v>
          </cell>
          <cell r="CT11">
            <v>-859741766.84000003</v>
          </cell>
          <cell r="CU11">
            <v>-863181558.33000004</v>
          </cell>
          <cell r="CV11">
            <v>-863797207.22000003</v>
          </cell>
          <cell r="CW11">
            <v>-867875669.89999998</v>
          </cell>
          <cell r="CX11">
            <v>-871813326.76999998</v>
          </cell>
          <cell r="CY11">
            <v>-870653447.91999996</v>
          </cell>
          <cell r="CZ11">
            <v>-874631148.00999999</v>
          </cell>
          <cell r="DA11">
            <v>-879037750.84000003</v>
          </cell>
          <cell r="DB11">
            <v>-877464305.25999999</v>
          </cell>
          <cell r="DC11">
            <v>-879336329.61000001</v>
          </cell>
          <cell r="DD11">
            <v>-883968098.65999997</v>
          </cell>
          <cell r="DE11">
            <v>-884255300.07000005</v>
          </cell>
          <cell r="DF11">
            <v>-889341407.23000002</v>
          </cell>
          <cell r="DG11">
            <v>-894532932.25</v>
          </cell>
          <cell r="DH11">
            <v>-897690611.58000004</v>
          </cell>
        </row>
        <row r="12">
          <cell r="A12" t="str">
            <v>1080001</v>
          </cell>
          <cell r="B12" t="str">
            <v>1080001</v>
          </cell>
          <cell r="C12" t="str">
            <v>RWIP</v>
          </cell>
          <cell r="D12">
            <v>5475309.6699999999</v>
          </cell>
          <cell r="E12">
            <v>6070492.6100000003</v>
          </cell>
          <cell r="F12">
            <v>6193781.8600000003</v>
          </cell>
          <cell r="G12">
            <v>6024426.1799999997</v>
          </cell>
          <cell r="H12">
            <v>6061317.4000000004</v>
          </cell>
          <cell r="I12">
            <v>5786439.4199999999</v>
          </cell>
          <cell r="J12">
            <v>5811333.1299999999</v>
          </cell>
          <cell r="K12">
            <v>5641621.3799999999</v>
          </cell>
          <cell r="L12">
            <v>6105530.6500000004</v>
          </cell>
          <cell r="M12">
            <v>6017209.04</v>
          </cell>
          <cell r="N12">
            <v>6264177.7000000002</v>
          </cell>
          <cell r="O12">
            <v>5996988.4100000001</v>
          </cell>
          <cell r="P12">
            <v>6806563.4299999997</v>
          </cell>
          <cell r="Q12">
            <v>5987515.5</v>
          </cell>
          <cell r="R12">
            <v>6231278.0700000003</v>
          </cell>
          <cell r="S12">
            <v>6280485.1399999997</v>
          </cell>
          <cell r="T12">
            <v>6419367.4699999997</v>
          </cell>
          <cell r="U12">
            <v>6028288.3200000003</v>
          </cell>
          <cell r="V12">
            <v>6278540.7199999997</v>
          </cell>
          <cell r="W12">
            <v>6759615</v>
          </cell>
          <cell r="X12">
            <v>7187888.21</v>
          </cell>
          <cell r="Y12">
            <v>8099451.4000000004</v>
          </cell>
          <cell r="Z12">
            <v>8822057.6999999993</v>
          </cell>
          <cell r="AA12">
            <v>9240386.6400000006</v>
          </cell>
          <cell r="AB12">
            <v>7728729.25</v>
          </cell>
          <cell r="AC12">
            <v>8491114.7799999993</v>
          </cell>
          <cell r="AD12">
            <v>8812995.7699999996</v>
          </cell>
          <cell r="AE12">
            <v>8216345.25</v>
          </cell>
          <cell r="AF12">
            <v>8443568.9199999999</v>
          </cell>
          <cell r="AG12">
            <v>8676052.1300000008</v>
          </cell>
          <cell r="AH12">
            <v>8506988.5700000003</v>
          </cell>
          <cell r="AI12">
            <v>8786687.4499999993</v>
          </cell>
          <cell r="AJ12">
            <v>9470438.9100000001</v>
          </cell>
          <cell r="AK12">
            <v>9107765.9800000004</v>
          </cell>
          <cell r="AL12">
            <v>9025114.9100000001</v>
          </cell>
          <cell r="AM12">
            <v>9223965.7400000002</v>
          </cell>
          <cell r="AN12">
            <v>9023289.1199999992</v>
          </cell>
          <cell r="AO12">
            <v>9190137.4199999999</v>
          </cell>
          <cell r="AP12">
            <v>9485911.8699999992</v>
          </cell>
          <cell r="AQ12">
            <v>9462697.8599999994</v>
          </cell>
          <cell r="AR12">
            <v>9529161.0199999996</v>
          </cell>
          <cell r="AS12">
            <v>9650496.0999999996</v>
          </cell>
          <cell r="AT12">
            <v>8907929.3100000005</v>
          </cell>
          <cell r="AU12">
            <v>8629778.5899999999</v>
          </cell>
          <cell r="AV12">
            <v>8994819.2200000007</v>
          </cell>
          <cell r="AW12">
            <v>7779688.1500000004</v>
          </cell>
          <cell r="AX12">
            <v>7770589.4900000002</v>
          </cell>
          <cell r="AY12">
            <v>8916807.4499999993</v>
          </cell>
          <cell r="AZ12">
            <v>7422224.1200000001</v>
          </cell>
          <cell r="BA12">
            <v>7870417.71</v>
          </cell>
          <cell r="BB12">
            <v>8310679.8600000003</v>
          </cell>
          <cell r="BC12">
            <v>7824554.8600000003</v>
          </cell>
          <cell r="BD12">
            <v>7933428.5</v>
          </cell>
          <cell r="BE12">
            <v>8348728.4900000002</v>
          </cell>
          <cell r="BF12">
            <v>8410915.3499999996</v>
          </cell>
          <cell r="BG12">
            <v>8712829.8000000007</v>
          </cell>
          <cell r="BH12">
            <v>8716305.2799999993</v>
          </cell>
          <cell r="BI12">
            <v>8829637.8599999994</v>
          </cell>
          <cell r="BJ12">
            <v>9677481.0600000005</v>
          </cell>
          <cell r="BK12">
            <v>10141968.789999999</v>
          </cell>
          <cell r="BL12">
            <v>9945627.3800000008</v>
          </cell>
          <cell r="BM12">
            <v>10843632.92</v>
          </cell>
          <cell r="BN12">
            <v>11222013.439999999</v>
          </cell>
          <cell r="BO12">
            <v>11155382.73</v>
          </cell>
          <cell r="BP12">
            <v>11397942.220000001</v>
          </cell>
          <cell r="BQ12">
            <v>11847087.07</v>
          </cell>
          <cell r="BR12">
            <v>11136746.699999999</v>
          </cell>
          <cell r="BS12">
            <v>11512539.560000001</v>
          </cell>
          <cell r="BT12">
            <v>12447563.75</v>
          </cell>
          <cell r="BU12">
            <v>13248918.85</v>
          </cell>
          <cell r="BV12">
            <v>13786077.689999999</v>
          </cell>
          <cell r="BW12">
            <v>14318397.5</v>
          </cell>
          <cell r="BX12">
            <v>12667895.710000001</v>
          </cell>
          <cell r="BY12">
            <v>7188034.0899999999</v>
          </cell>
          <cell r="BZ12">
            <v>14090648.800000001</v>
          </cell>
          <cell r="CA12">
            <v>14713671.66</v>
          </cell>
          <cell r="CB12">
            <v>15130730.42</v>
          </cell>
          <cell r="CC12">
            <v>14934721.41</v>
          </cell>
          <cell r="CD12">
            <v>13714162.5</v>
          </cell>
          <cell r="CE12">
            <v>14234181.17</v>
          </cell>
          <cell r="CF12">
            <v>15037734.359999999</v>
          </cell>
          <cell r="CG12">
            <v>15011710.01</v>
          </cell>
          <cell r="CH12">
            <v>15771328.560000001</v>
          </cell>
          <cell r="CI12">
            <v>16697713.640000001</v>
          </cell>
          <cell r="CJ12">
            <v>14310749.710000001</v>
          </cell>
          <cell r="CK12">
            <v>13733020.98</v>
          </cell>
          <cell r="CL12">
            <v>14220008.640000001</v>
          </cell>
          <cell r="CM12">
            <v>15066620.789999999</v>
          </cell>
          <cell r="CN12">
            <v>15447519.75</v>
          </cell>
          <cell r="CO12">
            <v>16530432.9</v>
          </cell>
          <cell r="CP12">
            <v>17286137.559999999</v>
          </cell>
          <cell r="CQ12">
            <v>18879440.620000001</v>
          </cell>
          <cell r="CR12">
            <v>19735206.359999999</v>
          </cell>
          <cell r="CS12">
            <v>19651989.199999999</v>
          </cell>
          <cell r="CT12">
            <v>20495704.84</v>
          </cell>
          <cell r="CU12">
            <v>22214041.800000001</v>
          </cell>
          <cell r="CV12">
            <v>14177814.32</v>
          </cell>
          <cell r="CW12">
            <v>14826337.83</v>
          </cell>
          <cell r="CX12">
            <v>14679341.5</v>
          </cell>
          <cell r="CY12">
            <v>15391800.630000001</v>
          </cell>
          <cell r="CZ12">
            <v>16386078.810000001</v>
          </cell>
          <cell r="DA12">
            <v>16775100.939999999</v>
          </cell>
          <cell r="DB12">
            <v>17428271.57</v>
          </cell>
          <cell r="DC12">
            <v>17458408.48</v>
          </cell>
          <cell r="DD12">
            <v>18327579.890000001</v>
          </cell>
          <cell r="DE12">
            <v>19038685.940000001</v>
          </cell>
          <cell r="DF12">
            <v>19783273.870000001</v>
          </cell>
          <cell r="DG12">
            <v>20748302.899999999</v>
          </cell>
          <cell r="DH12">
            <v>21479304.420000002</v>
          </cell>
        </row>
        <row r="13">
          <cell r="A13" t="str">
            <v>1080100</v>
          </cell>
          <cell r="B13" t="str">
            <v>1080100</v>
          </cell>
          <cell r="C13" t="str">
            <v>ARsv Cst Rmv C</v>
          </cell>
          <cell r="D13">
            <v>8308846.6600000001</v>
          </cell>
          <cell r="E13">
            <v>8312150.3300000001</v>
          </cell>
          <cell r="F13">
            <v>8326714</v>
          </cell>
          <cell r="G13">
            <v>8330300.4800000004</v>
          </cell>
          <cell r="H13">
            <v>8330452.5199999996</v>
          </cell>
          <cell r="I13">
            <v>8340869.96</v>
          </cell>
          <cell r="J13">
            <v>8334727.5499999998</v>
          </cell>
          <cell r="K13">
            <v>8341337.8099999996</v>
          </cell>
          <cell r="L13">
            <v>8344438.29</v>
          </cell>
          <cell r="M13">
            <v>8368880.9100000001</v>
          </cell>
          <cell r="N13">
            <v>8370306.4900000002</v>
          </cell>
          <cell r="O13">
            <v>8385606.7300000004</v>
          </cell>
          <cell r="P13">
            <v>8393768.2300000004</v>
          </cell>
          <cell r="Q13">
            <v>8405555.4900000002</v>
          </cell>
          <cell r="R13">
            <v>8379189.3600000003</v>
          </cell>
          <cell r="S13">
            <v>8400720.9399999995</v>
          </cell>
          <cell r="T13">
            <v>8408807.4800000004</v>
          </cell>
          <cell r="U13">
            <v>8421469.5700000003</v>
          </cell>
          <cell r="V13">
            <v>8407904.5</v>
          </cell>
          <cell r="W13">
            <v>8422924.0399999991</v>
          </cell>
          <cell r="X13">
            <v>8449577.2200000007</v>
          </cell>
          <cell r="Y13">
            <v>8477393</v>
          </cell>
          <cell r="Z13">
            <v>8499513.2200000007</v>
          </cell>
          <cell r="AA13">
            <v>8523264.0099999998</v>
          </cell>
          <cell r="AB13">
            <v>8547003.4000000004</v>
          </cell>
          <cell r="AC13">
            <v>8463248.1400000006</v>
          </cell>
          <cell r="AD13">
            <v>8442232.9700000007</v>
          </cell>
          <cell r="AE13">
            <v>8422590.9600000009</v>
          </cell>
          <cell r="AF13">
            <v>8486220.7699999996</v>
          </cell>
          <cell r="AG13">
            <v>8502774.25</v>
          </cell>
          <cell r="AH13">
            <v>8519206.4900000002</v>
          </cell>
          <cell r="AI13">
            <v>8498914.6300000008</v>
          </cell>
          <cell r="AJ13">
            <v>8519190.1699999999</v>
          </cell>
          <cell r="AK13">
            <v>8528675.0800000001</v>
          </cell>
          <cell r="AL13">
            <v>8522908.7100000009</v>
          </cell>
          <cell r="AM13">
            <v>8526203.0700000003</v>
          </cell>
          <cell r="AN13">
            <v>8538626</v>
          </cell>
          <cell r="AO13">
            <v>8636826.3000000007</v>
          </cell>
          <cell r="AP13">
            <v>8665557.6400000006</v>
          </cell>
          <cell r="AQ13">
            <v>8698674.1500000004</v>
          </cell>
          <cell r="AR13">
            <v>8711577.8000000007</v>
          </cell>
          <cell r="AS13">
            <v>8747881.2200000007</v>
          </cell>
          <cell r="AT13">
            <v>8765684.7300000004</v>
          </cell>
          <cell r="AU13">
            <v>8743362.8800000008</v>
          </cell>
          <cell r="AV13">
            <v>8751670.3399999999</v>
          </cell>
          <cell r="AW13">
            <v>8780268.7400000002</v>
          </cell>
          <cell r="AX13">
            <v>8738544.6300000008</v>
          </cell>
          <cell r="AY13">
            <v>8745431.2200000007</v>
          </cell>
          <cell r="AZ13">
            <v>8780648.6400000006</v>
          </cell>
          <cell r="BA13">
            <v>8748023.5500000007</v>
          </cell>
          <cell r="BB13">
            <v>8784757.7599999998</v>
          </cell>
          <cell r="BC13">
            <v>8795335.8200000003</v>
          </cell>
          <cell r="BD13">
            <v>8779903.0899999999</v>
          </cell>
          <cell r="BE13">
            <v>8805685.5399999991</v>
          </cell>
          <cell r="BF13">
            <v>8842790.4800000004</v>
          </cell>
          <cell r="BG13">
            <v>8844384.5399999991</v>
          </cell>
          <cell r="BH13">
            <v>8884621.0500000007</v>
          </cell>
          <cell r="BI13">
            <v>8896387.4299999997</v>
          </cell>
          <cell r="BJ13">
            <v>8916734.9900000002</v>
          </cell>
          <cell r="BK13">
            <v>8953077.6300000008</v>
          </cell>
          <cell r="BL13">
            <v>8990526.6300000008</v>
          </cell>
          <cell r="BM13">
            <v>8977840.8800000008</v>
          </cell>
          <cell r="BN13">
            <v>9005200.3800000008</v>
          </cell>
          <cell r="BO13">
            <v>9015577.3100000005</v>
          </cell>
          <cell r="BP13">
            <v>9016765.7799999993</v>
          </cell>
          <cell r="BQ13">
            <v>9016551.7799999993</v>
          </cell>
          <cell r="BR13">
            <v>9032829.3900000006</v>
          </cell>
          <cell r="BS13">
            <v>8978749.2599999998</v>
          </cell>
          <cell r="BT13">
            <v>8993094.8499999996</v>
          </cell>
          <cell r="BU13">
            <v>9025187.5299999993</v>
          </cell>
          <cell r="BV13">
            <v>9058107.6600000001</v>
          </cell>
          <cell r="BW13">
            <v>9065696.2300000004</v>
          </cell>
          <cell r="BX13">
            <v>9090008.8699999992</v>
          </cell>
          <cell r="BY13">
            <v>8987353.3499999996</v>
          </cell>
          <cell r="BZ13">
            <v>9017983.25</v>
          </cell>
          <cell r="CA13">
            <v>9053478.0899999999</v>
          </cell>
          <cell r="CB13">
            <v>9084514.8200000003</v>
          </cell>
          <cell r="CC13">
            <v>9112597.4199999999</v>
          </cell>
          <cell r="CD13">
            <v>9110198.0099999998</v>
          </cell>
          <cell r="CE13">
            <v>9060385.1899999995</v>
          </cell>
          <cell r="CF13">
            <v>9090297.0500000007</v>
          </cell>
          <cell r="CG13">
            <v>9130078.4299999997</v>
          </cell>
          <cell r="CH13">
            <v>9136048.8900000006</v>
          </cell>
          <cell r="CI13">
            <v>9169826.8599999994</v>
          </cell>
          <cell r="CJ13">
            <v>9210423.75</v>
          </cell>
          <cell r="CK13">
            <v>9339355.8100000005</v>
          </cell>
          <cell r="CL13">
            <v>9136802.3000000007</v>
          </cell>
          <cell r="CM13">
            <v>9182469.4299999997</v>
          </cell>
          <cell r="CN13">
            <v>9238806.6199999992</v>
          </cell>
          <cell r="CO13">
            <v>9272837.8800000008</v>
          </cell>
          <cell r="CP13">
            <v>9330865.5500000007</v>
          </cell>
          <cell r="CQ13">
            <v>9348903.8000000007</v>
          </cell>
          <cell r="CR13">
            <v>9399071.8200000003</v>
          </cell>
          <cell r="CS13">
            <v>9458150.6400000006</v>
          </cell>
          <cell r="CT13">
            <v>9439204.1300000008</v>
          </cell>
          <cell r="CU13">
            <v>9421009.8200000003</v>
          </cell>
          <cell r="CV13">
            <v>9459235.6400000006</v>
          </cell>
          <cell r="CW13">
            <v>9344588.8000000007</v>
          </cell>
          <cell r="CX13">
            <v>9392312.7100000009</v>
          </cell>
          <cell r="CY13">
            <v>9408473.0199999996</v>
          </cell>
          <cell r="CZ13">
            <v>9455258.5500000007</v>
          </cell>
          <cell r="DA13">
            <v>9492458.1500000004</v>
          </cell>
          <cell r="DB13">
            <v>9540015.1199999992</v>
          </cell>
          <cell r="DC13">
            <v>9557121.4600000009</v>
          </cell>
          <cell r="DD13">
            <v>9591016.4499999993</v>
          </cell>
          <cell r="DE13">
            <v>9673517.6300000008</v>
          </cell>
          <cell r="DF13">
            <v>9701718.7599999998</v>
          </cell>
          <cell r="DG13">
            <v>9762094.9199999999</v>
          </cell>
          <cell r="DH13">
            <v>9821981.3900000006</v>
          </cell>
        </row>
        <row r="14">
          <cell r="A14" t="str">
            <v>1080110</v>
          </cell>
          <cell r="B14" t="str">
            <v>1080110</v>
          </cell>
          <cell r="C14" t="str">
            <v>ARsv Cst Rmv Cntra C</v>
          </cell>
          <cell r="D14">
            <v>-8308846.6600000001</v>
          </cell>
          <cell r="E14">
            <v>-8312150.3300000001</v>
          </cell>
          <cell r="F14">
            <v>-8326714</v>
          </cell>
          <cell r="G14">
            <v>-8330300.4800000004</v>
          </cell>
          <cell r="H14">
            <v>-8330452.5199999996</v>
          </cell>
          <cell r="I14">
            <v>-8340869.96</v>
          </cell>
          <cell r="J14">
            <v>-8334727.5499999998</v>
          </cell>
          <cell r="K14">
            <v>-8341337.8099999996</v>
          </cell>
          <cell r="L14">
            <v>-8344438.29</v>
          </cell>
          <cell r="M14">
            <v>-8368880.9100000001</v>
          </cell>
          <cell r="N14">
            <v>-8370306.4900000002</v>
          </cell>
          <cell r="O14">
            <v>-8385606.7300000004</v>
          </cell>
          <cell r="P14">
            <v>-8393768.2300000004</v>
          </cell>
          <cell r="Q14">
            <v>-8405555.4900000002</v>
          </cell>
          <cell r="R14">
            <v>-8379189.3600000003</v>
          </cell>
          <cell r="S14">
            <v>-8400720.9399999995</v>
          </cell>
          <cell r="T14">
            <v>-8408807.4800000004</v>
          </cell>
          <cell r="U14">
            <v>-8421469.5700000003</v>
          </cell>
          <cell r="V14">
            <v>-8407904.5</v>
          </cell>
          <cell r="W14">
            <v>-8422924.0399999991</v>
          </cell>
          <cell r="X14">
            <v>-8449577.2200000007</v>
          </cell>
          <cell r="Y14">
            <v>-8477393</v>
          </cell>
          <cell r="Z14">
            <v>-8499513.2200000007</v>
          </cell>
          <cell r="AA14">
            <v>-8523264.0099999998</v>
          </cell>
          <cell r="AB14">
            <v>-8547003.4000000004</v>
          </cell>
          <cell r="AC14">
            <v>-8463248.1400000006</v>
          </cell>
          <cell r="AD14">
            <v>-8442232.9700000007</v>
          </cell>
          <cell r="AE14">
            <v>-8422590.9600000009</v>
          </cell>
          <cell r="AF14">
            <v>-8486220.7699999996</v>
          </cell>
          <cell r="AG14">
            <v>-8502774.25</v>
          </cell>
          <cell r="AH14">
            <v>-8519206.4900000002</v>
          </cell>
          <cell r="AI14">
            <v>-8498914.6300000008</v>
          </cell>
          <cell r="AJ14">
            <v>-8519190.1699999999</v>
          </cell>
          <cell r="AK14">
            <v>-8528675.0800000001</v>
          </cell>
          <cell r="AL14">
            <v>-8522908.7100000009</v>
          </cell>
          <cell r="AM14">
            <v>-8526203.0700000003</v>
          </cell>
          <cell r="AN14">
            <v>-8538626</v>
          </cell>
          <cell r="AO14">
            <v>-8636826.3000000007</v>
          </cell>
          <cell r="AP14">
            <v>-8665557.6400000006</v>
          </cell>
          <cell r="AQ14">
            <v>-8698674.1500000004</v>
          </cell>
          <cell r="AR14">
            <v>-8711577.8000000007</v>
          </cell>
          <cell r="AS14">
            <v>-8747881.2200000007</v>
          </cell>
          <cell r="AT14">
            <v>-8765684.7300000004</v>
          </cell>
          <cell r="AU14">
            <v>-8743362.8800000008</v>
          </cell>
          <cell r="AV14">
            <v>-8751670.3399999999</v>
          </cell>
          <cell r="AW14">
            <v>-8780268.7400000002</v>
          </cell>
          <cell r="AX14">
            <v>-8738544.6300000008</v>
          </cell>
          <cell r="AY14">
            <v>-8745431.2200000007</v>
          </cell>
          <cell r="AZ14">
            <v>-8780648.6400000006</v>
          </cell>
          <cell r="BA14">
            <v>-8748023.5500000007</v>
          </cell>
          <cell r="BB14">
            <v>-8784757.7599999998</v>
          </cell>
          <cell r="BC14">
            <v>-8795335.8200000003</v>
          </cell>
          <cell r="BD14">
            <v>-8779903.0899999999</v>
          </cell>
          <cell r="BE14">
            <v>-8805685.5399999991</v>
          </cell>
          <cell r="BF14">
            <v>-8842790.4800000004</v>
          </cell>
          <cell r="BG14">
            <v>-8844384.5399999991</v>
          </cell>
          <cell r="BH14">
            <v>-8884621.0500000007</v>
          </cell>
          <cell r="BI14">
            <v>-8896387.4299999997</v>
          </cell>
          <cell r="BJ14">
            <v>-8916734.9900000002</v>
          </cell>
          <cell r="BK14">
            <v>-8953077.6300000008</v>
          </cell>
          <cell r="BL14">
            <v>-8990526.6300000008</v>
          </cell>
          <cell r="BM14">
            <v>-8977840.8800000008</v>
          </cell>
          <cell r="BN14">
            <v>-9005200.3800000008</v>
          </cell>
          <cell r="BO14">
            <v>-9015577.3100000005</v>
          </cell>
          <cell r="BP14">
            <v>-9016765.7799999993</v>
          </cell>
          <cell r="BQ14">
            <v>-9016551.7799999993</v>
          </cell>
          <cell r="BR14">
            <v>-9032829.3900000006</v>
          </cell>
          <cell r="BS14">
            <v>-8978749.2599999998</v>
          </cell>
          <cell r="BT14">
            <v>-8993094.8499999996</v>
          </cell>
          <cell r="BU14">
            <v>-9025187.5299999993</v>
          </cell>
          <cell r="BV14">
            <v>-9058107.6600000001</v>
          </cell>
          <cell r="BW14">
            <v>-9065696.2300000004</v>
          </cell>
          <cell r="BX14">
            <v>-9090008.8699999992</v>
          </cell>
          <cell r="BY14">
            <v>-8987353.3499999996</v>
          </cell>
          <cell r="BZ14">
            <v>-9017983.25</v>
          </cell>
          <cell r="CA14">
            <v>-9053478.0899999999</v>
          </cell>
          <cell r="CB14">
            <v>-9084514.8200000003</v>
          </cell>
          <cell r="CC14">
            <v>-9112597.4199999999</v>
          </cell>
          <cell r="CD14">
            <v>-9110198.0099999998</v>
          </cell>
          <cell r="CE14">
            <v>-9060385.1899999995</v>
          </cell>
          <cell r="CF14">
            <v>-9090297.0500000007</v>
          </cell>
          <cell r="CG14">
            <v>-9130078.4299999997</v>
          </cell>
          <cell r="CH14">
            <v>-9136048.8900000006</v>
          </cell>
          <cell r="CI14">
            <v>-9169826.8599999994</v>
          </cell>
          <cell r="CJ14">
            <v>-9210423.75</v>
          </cell>
          <cell r="CK14">
            <v>-9339355.8100000005</v>
          </cell>
          <cell r="CL14">
            <v>-9136802.3000000007</v>
          </cell>
          <cell r="CM14">
            <v>-9182469.4299999997</v>
          </cell>
          <cell r="CN14">
            <v>-9238806.6199999992</v>
          </cell>
          <cell r="CO14">
            <v>-9272837.8800000008</v>
          </cell>
          <cell r="CP14">
            <v>-9330865.5500000007</v>
          </cell>
          <cell r="CQ14">
            <v>-9348903.8000000007</v>
          </cell>
          <cell r="CR14">
            <v>-9399071.8200000003</v>
          </cell>
          <cell r="CS14">
            <v>-9458150.6400000006</v>
          </cell>
          <cell r="CT14">
            <v>-9439204.1300000008</v>
          </cell>
          <cell r="CU14">
            <v>-9421009.8200000003</v>
          </cell>
          <cell r="CV14">
            <v>-9459235.6400000006</v>
          </cell>
          <cell r="CW14">
            <v>-9344588.8000000007</v>
          </cell>
          <cell r="CX14">
            <v>-9392312.7100000009</v>
          </cell>
          <cell r="CY14">
            <v>-9408473.0199999996</v>
          </cell>
          <cell r="CZ14">
            <v>-9455258.5500000007</v>
          </cell>
          <cell r="DA14">
            <v>-9492458.1500000004</v>
          </cell>
          <cell r="DB14">
            <v>-9540015.1199999992</v>
          </cell>
          <cell r="DC14">
            <v>-9557121.4600000009</v>
          </cell>
          <cell r="DD14">
            <v>-9591016.4499999993</v>
          </cell>
          <cell r="DE14">
            <v>-9673517.6300000008</v>
          </cell>
          <cell r="DF14">
            <v>-9701718.7599999998</v>
          </cell>
          <cell r="DG14">
            <v>-9762094.9199999999</v>
          </cell>
          <cell r="DH14">
            <v>-9821981.3900000006</v>
          </cell>
        </row>
        <row r="15">
          <cell r="A15" t="str">
            <v>1080200</v>
          </cell>
          <cell r="B15" t="str">
            <v>1080200</v>
          </cell>
          <cell r="C15" t="str">
            <v>ARsv Cst Rmv NC</v>
          </cell>
          <cell r="D15">
            <v>157868086.47999999</v>
          </cell>
          <cell r="E15">
            <v>157930856.16999999</v>
          </cell>
          <cell r="F15">
            <v>158207566.02000001</v>
          </cell>
          <cell r="G15">
            <v>158275709.06999999</v>
          </cell>
          <cell r="H15">
            <v>158278597.81</v>
          </cell>
          <cell r="I15">
            <v>158476529.13999999</v>
          </cell>
          <cell r="J15">
            <v>158359823.44</v>
          </cell>
          <cell r="K15">
            <v>158485418.47</v>
          </cell>
          <cell r="L15">
            <v>158544327.53999999</v>
          </cell>
          <cell r="M15">
            <v>159008737.30000001</v>
          </cell>
          <cell r="N15">
            <v>159035823.40000001</v>
          </cell>
          <cell r="O15">
            <v>159326527.94</v>
          </cell>
          <cell r="P15">
            <v>159481596.38999999</v>
          </cell>
          <cell r="Q15">
            <v>159705554.24000001</v>
          </cell>
          <cell r="R15">
            <v>159204597.91999999</v>
          </cell>
          <cell r="S15">
            <v>159613697.81999999</v>
          </cell>
          <cell r="T15">
            <v>159767342.11000001</v>
          </cell>
          <cell r="U15">
            <v>160007921.80000001</v>
          </cell>
          <cell r="V15">
            <v>159750185.44999999</v>
          </cell>
          <cell r="W15">
            <v>160035556.69</v>
          </cell>
          <cell r="X15">
            <v>160541967.15000001</v>
          </cell>
          <cell r="Y15">
            <v>161070466.96000001</v>
          </cell>
          <cell r="Z15">
            <v>161490751.22</v>
          </cell>
          <cell r="AA15">
            <v>161942016.22</v>
          </cell>
          <cell r="AB15">
            <v>162393064.65000001</v>
          </cell>
          <cell r="AC15">
            <v>160801714.69</v>
          </cell>
          <cell r="AD15">
            <v>160402426.53</v>
          </cell>
          <cell r="AE15">
            <v>160029228.36000001</v>
          </cell>
          <cell r="AF15">
            <v>161238194.55000001</v>
          </cell>
          <cell r="AG15">
            <v>161552710.74000001</v>
          </cell>
          <cell r="AH15">
            <v>161864923.40000001</v>
          </cell>
          <cell r="AI15">
            <v>161479377.88999999</v>
          </cell>
          <cell r="AJ15">
            <v>161864613.31999999</v>
          </cell>
          <cell r="AK15">
            <v>162044826.52000001</v>
          </cell>
          <cell r="AL15">
            <v>161935265.44999999</v>
          </cell>
          <cell r="AM15">
            <v>161997858.31999999</v>
          </cell>
          <cell r="AN15">
            <v>162233894.02000001</v>
          </cell>
          <cell r="AO15">
            <v>164099699.75999999</v>
          </cell>
          <cell r="AP15">
            <v>164645595.13</v>
          </cell>
          <cell r="AQ15">
            <v>165274808.75999999</v>
          </cell>
          <cell r="AR15">
            <v>165519978.13</v>
          </cell>
          <cell r="AS15">
            <v>166209743.21000001</v>
          </cell>
          <cell r="AT15">
            <v>166548009.91</v>
          </cell>
          <cell r="AU15">
            <v>166123894.66999999</v>
          </cell>
          <cell r="AV15">
            <v>166281736.52000001</v>
          </cell>
          <cell r="AW15">
            <v>166825106.06999999</v>
          </cell>
          <cell r="AX15">
            <v>166032347.90000001</v>
          </cell>
          <cell r="AY15">
            <v>166163193.16</v>
          </cell>
          <cell r="AZ15">
            <v>166832324.09</v>
          </cell>
          <cell r="BA15">
            <v>166212447.55000001</v>
          </cell>
          <cell r="BB15">
            <v>166910397.46000001</v>
          </cell>
          <cell r="BC15">
            <v>167111380.50999999</v>
          </cell>
          <cell r="BD15">
            <v>166818158.69</v>
          </cell>
          <cell r="BE15">
            <v>167308025.24000001</v>
          </cell>
          <cell r="BF15">
            <v>168013019.05000001</v>
          </cell>
          <cell r="BG15">
            <v>168043306.24000001</v>
          </cell>
          <cell r="BH15">
            <v>168807799.96000001</v>
          </cell>
          <cell r="BI15">
            <v>169031361.13999999</v>
          </cell>
          <cell r="BJ15">
            <v>169417964.81999999</v>
          </cell>
          <cell r="BK15">
            <v>170108474.88999999</v>
          </cell>
          <cell r="BL15">
            <v>170820005.96000001</v>
          </cell>
          <cell r="BM15">
            <v>170578976.66</v>
          </cell>
          <cell r="BN15">
            <v>171098807.28999999</v>
          </cell>
          <cell r="BO15">
            <v>171295968.96000001</v>
          </cell>
          <cell r="BP15">
            <v>171318549.91</v>
          </cell>
          <cell r="BQ15">
            <v>171314483.88</v>
          </cell>
          <cell r="BR15">
            <v>171623758.41999999</v>
          </cell>
          <cell r="BS15">
            <v>170596236.03</v>
          </cell>
          <cell r="BT15">
            <v>170868802.15000001</v>
          </cell>
          <cell r="BU15">
            <v>171478563.11000001</v>
          </cell>
          <cell r="BV15">
            <v>172104045.53</v>
          </cell>
          <cell r="BW15">
            <v>172248228.46000001</v>
          </cell>
          <cell r="BX15">
            <v>172710168.47999999</v>
          </cell>
          <cell r="BY15">
            <v>170759713.66</v>
          </cell>
          <cell r="BZ15">
            <v>171341681.81999999</v>
          </cell>
          <cell r="CA15">
            <v>172016083.63</v>
          </cell>
          <cell r="CB15">
            <v>172605781.63</v>
          </cell>
          <cell r="CC15">
            <v>173139350.93000001</v>
          </cell>
          <cell r="CD15">
            <v>173093762.09999999</v>
          </cell>
          <cell r="CE15">
            <v>172147318.59999999</v>
          </cell>
          <cell r="CF15">
            <v>172715644.03999999</v>
          </cell>
          <cell r="CG15">
            <v>173471490.18000001</v>
          </cell>
          <cell r="CH15">
            <v>173584928.91999999</v>
          </cell>
          <cell r="CI15">
            <v>174226710.41</v>
          </cell>
          <cell r="CJ15">
            <v>174998051.16</v>
          </cell>
          <cell r="CK15">
            <v>177447760.31</v>
          </cell>
          <cell r="CL15">
            <v>173599243.78</v>
          </cell>
          <cell r="CM15">
            <v>174466919.24000001</v>
          </cell>
          <cell r="CN15">
            <v>175537325.78</v>
          </cell>
          <cell r="CO15">
            <v>176183919.80000001</v>
          </cell>
          <cell r="CP15">
            <v>177286445.44</v>
          </cell>
          <cell r="CQ15">
            <v>177629172.22999999</v>
          </cell>
          <cell r="CR15">
            <v>178582364.50999999</v>
          </cell>
          <cell r="CS15">
            <v>179704862.22</v>
          </cell>
          <cell r="CT15">
            <v>179344878.47</v>
          </cell>
          <cell r="CU15">
            <v>178999186.68000001</v>
          </cell>
          <cell r="CV15">
            <v>179725477.24000001</v>
          </cell>
          <cell r="CW15">
            <v>177547187.30000001</v>
          </cell>
          <cell r="CX15">
            <v>178453941.47999999</v>
          </cell>
          <cell r="CY15">
            <v>178760987.41999999</v>
          </cell>
          <cell r="CZ15">
            <v>179649912.52000001</v>
          </cell>
          <cell r="DA15">
            <v>180356704.78999999</v>
          </cell>
          <cell r="DB15">
            <v>181260287.31999999</v>
          </cell>
          <cell r="DC15">
            <v>181585307.80000001</v>
          </cell>
          <cell r="DD15">
            <v>182229312.53999999</v>
          </cell>
          <cell r="DE15">
            <v>183796834.80000001</v>
          </cell>
          <cell r="DF15">
            <v>184332656.41</v>
          </cell>
          <cell r="DG15">
            <v>185479803.41</v>
          </cell>
          <cell r="DH15">
            <v>186617646.5</v>
          </cell>
        </row>
        <row r="16">
          <cell r="A16" t="str">
            <v>1080210</v>
          </cell>
          <cell r="B16" t="str">
            <v>1080210</v>
          </cell>
          <cell r="C16" t="str">
            <v>ARsv Cst Rmv CntraNC</v>
          </cell>
          <cell r="D16">
            <v>-157868086.47999999</v>
          </cell>
          <cell r="E16">
            <v>-157930856.16999999</v>
          </cell>
          <cell r="F16">
            <v>-158207566.02000001</v>
          </cell>
          <cell r="G16">
            <v>-158275709.06999999</v>
          </cell>
          <cell r="H16">
            <v>-158278597.81</v>
          </cell>
          <cell r="I16">
            <v>-158476529.13999999</v>
          </cell>
          <cell r="J16">
            <v>-158359823.44</v>
          </cell>
          <cell r="K16">
            <v>-158485418.47</v>
          </cell>
          <cell r="L16">
            <v>-158544327.53999999</v>
          </cell>
          <cell r="M16">
            <v>-159008737.30000001</v>
          </cell>
          <cell r="N16">
            <v>-159035823.40000001</v>
          </cell>
          <cell r="O16">
            <v>-159326527.94</v>
          </cell>
          <cell r="P16">
            <v>-159481596.38999999</v>
          </cell>
          <cell r="Q16">
            <v>-159705554.24000001</v>
          </cell>
          <cell r="R16">
            <v>-159204597.91999999</v>
          </cell>
          <cell r="S16">
            <v>-159613697.81999999</v>
          </cell>
          <cell r="T16">
            <v>-159767342.11000001</v>
          </cell>
          <cell r="U16">
            <v>-160007921.80000001</v>
          </cell>
          <cell r="V16">
            <v>-159750185.44999999</v>
          </cell>
          <cell r="W16">
            <v>-160035556.69</v>
          </cell>
          <cell r="X16">
            <v>-160541967.15000001</v>
          </cell>
          <cell r="Y16">
            <v>-161070466.96000001</v>
          </cell>
          <cell r="Z16">
            <v>-161490751.22</v>
          </cell>
          <cell r="AA16">
            <v>-161942016.22</v>
          </cell>
          <cell r="AB16">
            <v>-162393064.65000001</v>
          </cell>
          <cell r="AC16">
            <v>-160801714.69</v>
          </cell>
          <cell r="AD16">
            <v>-160402426.53</v>
          </cell>
          <cell r="AE16">
            <v>-160029228.36000001</v>
          </cell>
          <cell r="AF16">
            <v>-161238194.55000001</v>
          </cell>
          <cell r="AG16">
            <v>-161552710.74000001</v>
          </cell>
          <cell r="AH16">
            <v>-161864923.40000001</v>
          </cell>
          <cell r="AI16">
            <v>-161479377.88999999</v>
          </cell>
          <cell r="AJ16">
            <v>-161864613.31999999</v>
          </cell>
          <cell r="AK16">
            <v>-162044826.52000001</v>
          </cell>
          <cell r="AL16">
            <v>-161935265.44999999</v>
          </cell>
          <cell r="AM16">
            <v>-161997858.31999999</v>
          </cell>
          <cell r="AN16">
            <v>-162233894.02000001</v>
          </cell>
          <cell r="AO16">
            <v>-164099699.75999999</v>
          </cell>
          <cell r="AP16">
            <v>-164645595.13</v>
          </cell>
          <cell r="AQ16">
            <v>-165274808.75999999</v>
          </cell>
          <cell r="AR16">
            <v>-165519978.13</v>
          </cell>
          <cell r="AS16">
            <v>-166209743.21000001</v>
          </cell>
          <cell r="AT16">
            <v>-166548009.91</v>
          </cell>
          <cell r="AU16">
            <v>-166123894.66999999</v>
          </cell>
          <cell r="AV16">
            <v>-166281736.52000001</v>
          </cell>
          <cell r="AW16">
            <v>-166825106.06999999</v>
          </cell>
          <cell r="AX16">
            <v>-166032347.90000001</v>
          </cell>
          <cell r="AY16">
            <v>-166163193.16</v>
          </cell>
          <cell r="AZ16">
            <v>-166832324.09</v>
          </cell>
          <cell r="BA16">
            <v>-166212447.55000001</v>
          </cell>
          <cell r="BB16">
            <v>-166910397.46000001</v>
          </cell>
          <cell r="BC16">
            <v>-167111380.50999999</v>
          </cell>
          <cell r="BD16">
            <v>-166818158.69</v>
          </cell>
          <cell r="BE16">
            <v>-167308025.24000001</v>
          </cell>
          <cell r="BF16">
            <v>-168013019.05000001</v>
          </cell>
          <cell r="BG16">
            <v>-168043306.24000001</v>
          </cell>
          <cell r="BH16">
            <v>-168807799.96000001</v>
          </cell>
          <cell r="BI16">
            <v>-169031361.13999999</v>
          </cell>
          <cell r="BJ16">
            <v>-169417964.81999999</v>
          </cell>
          <cell r="BK16">
            <v>-170108474.88999999</v>
          </cell>
          <cell r="BL16">
            <v>-170820005.96000001</v>
          </cell>
          <cell r="BM16">
            <v>-170578976.66</v>
          </cell>
          <cell r="BN16">
            <v>-171098807.28999999</v>
          </cell>
          <cell r="BO16">
            <v>-171295968.96000001</v>
          </cell>
          <cell r="BP16">
            <v>-171318549.91</v>
          </cell>
          <cell r="BQ16">
            <v>-171314483.88</v>
          </cell>
          <cell r="BR16">
            <v>-171623758.41999999</v>
          </cell>
          <cell r="BS16">
            <v>-170596236.03</v>
          </cell>
          <cell r="BT16">
            <v>-170868802.15000001</v>
          </cell>
          <cell r="BU16">
            <v>-171478563.11000001</v>
          </cell>
          <cell r="BV16">
            <v>-172104045.53</v>
          </cell>
          <cell r="BW16">
            <v>-172248228.46000001</v>
          </cell>
          <cell r="BX16">
            <v>-172710168.47999999</v>
          </cell>
          <cell r="BY16">
            <v>-170759713.66</v>
          </cell>
          <cell r="BZ16">
            <v>-171341681.81999999</v>
          </cell>
          <cell r="CA16">
            <v>-172016083.63</v>
          </cell>
          <cell r="CB16">
            <v>-172605781.63</v>
          </cell>
          <cell r="CC16">
            <v>-173139350.93000001</v>
          </cell>
          <cell r="CD16">
            <v>-173093762.09999999</v>
          </cell>
          <cell r="CE16">
            <v>-172147318.59999999</v>
          </cell>
          <cell r="CF16">
            <v>-172715644.03999999</v>
          </cell>
          <cell r="CG16">
            <v>-173471490.18000001</v>
          </cell>
          <cell r="CH16">
            <v>-173584928.91999999</v>
          </cell>
          <cell r="CI16">
            <v>-174226710.41</v>
          </cell>
          <cell r="CJ16">
            <v>-174998051.16</v>
          </cell>
          <cell r="CK16">
            <v>-177447760.31</v>
          </cell>
          <cell r="CL16">
            <v>-173599243.78</v>
          </cell>
          <cell r="CM16">
            <v>-174466919.24000001</v>
          </cell>
          <cell r="CN16">
            <v>-175537325.78</v>
          </cell>
          <cell r="CO16">
            <v>-176183919.80000001</v>
          </cell>
          <cell r="CP16">
            <v>-177286445.44</v>
          </cell>
          <cell r="CQ16">
            <v>-177629172.22999999</v>
          </cell>
          <cell r="CR16">
            <v>-178582364.50999999</v>
          </cell>
          <cell r="CS16">
            <v>-179704862.22</v>
          </cell>
          <cell r="CT16">
            <v>-179344878.47</v>
          </cell>
          <cell r="CU16">
            <v>-178999186.68000001</v>
          </cell>
          <cell r="CV16">
            <v>-179725477.24000001</v>
          </cell>
          <cell r="CW16">
            <v>-177547187.30000001</v>
          </cell>
          <cell r="CX16">
            <v>-178453941.47999999</v>
          </cell>
          <cell r="CY16">
            <v>-178760987.41999999</v>
          </cell>
          <cell r="CZ16">
            <v>-179649912.52000001</v>
          </cell>
          <cell r="DA16">
            <v>-180356704.78999999</v>
          </cell>
          <cell r="DB16">
            <v>-181260287.31999999</v>
          </cell>
          <cell r="DC16">
            <v>-181585307.80000001</v>
          </cell>
          <cell r="DD16">
            <v>-182229312.53999999</v>
          </cell>
          <cell r="DE16">
            <v>-183796834.80000001</v>
          </cell>
          <cell r="DF16">
            <v>-184332656.41</v>
          </cell>
          <cell r="DG16">
            <v>-185479803.41</v>
          </cell>
          <cell r="DH16">
            <v>-186617646.5</v>
          </cell>
        </row>
        <row r="17">
          <cell r="A17" t="str">
            <v>1080901</v>
          </cell>
          <cell r="B17" t="str">
            <v>1080901</v>
          </cell>
          <cell r="C17" t="str">
            <v>Accum Deprec-GAAP</v>
          </cell>
          <cell r="AF17">
            <v>0</v>
          </cell>
          <cell r="AG17">
            <v>0</v>
          </cell>
          <cell r="AH17">
            <v>98151</v>
          </cell>
          <cell r="AI17">
            <v>130868</v>
          </cell>
          <cell r="AJ17">
            <v>163585</v>
          </cell>
          <cell r="AK17">
            <v>196302</v>
          </cell>
          <cell r="AL17">
            <v>229019</v>
          </cell>
          <cell r="AM17">
            <v>284611</v>
          </cell>
          <cell r="AN17">
            <v>328766</v>
          </cell>
          <cell r="AO17">
            <v>372921</v>
          </cell>
          <cell r="AP17">
            <v>417076</v>
          </cell>
          <cell r="AQ17">
            <v>461231</v>
          </cell>
          <cell r="AR17">
            <v>505386</v>
          </cell>
          <cell r="AS17">
            <v>549541</v>
          </cell>
          <cell r="AT17">
            <v>593696</v>
          </cell>
          <cell r="AU17">
            <v>637851</v>
          </cell>
          <cell r="AV17">
            <v>682006</v>
          </cell>
          <cell r="AW17">
            <v>726161</v>
          </cell>
          <cell r="AX17">
            <v>770316</v>
          </cell>
          <cell r="AY17">
            <v>814471</v>
          </cell>
          <cell r="AZ17">
            <v>858626</v>
          </cell>
          <cell r="BA17">
            <v>902781</v>
          </cell>
          <cell r="BB17">
            <v>946936</v>
          </cell>
          <cell r="BC17">
            <v>991091</v>
          </cell>
          <cell r="BD17">
            <v>1035246</v>
          </cell>
          <cell r="BE17">
            <v>1079401</v>
          </cell>
          <cell r="BF17">
            <v>1123556</v>
          </cell>
          <cell r="BG17">
            <v>1167711</v>
          </cell>
          <cell r="BH17">
            <v>1211866</v>
          </cell>
          <cell r="BI17">
            <v>1256021</v>
          </cell>
          <cell r="BJ17">
            <v>1300176</v>
          </cell>
          <cell r="BK17">
            <v>1344331</v>
          </cell>
          <cell r="BL17">
            <v>1388486</v>
          </cell>
          <cell r="BM17">
            <v>1432641</v>
          </cell>
          <cell r="BN17">
            <v>1476796</v>
          </cell>
          <cell r="BO17">
            <v>1520951</v>
          </cell>
          <cell r="BP17">
            <v>1565106</v>
          </cell>
          <cell r="BQ17">
            <v>1609261</v>
          </cell>
          <cell r="BR17">
            <v>1653416</v>
          </cell>
          <cell r="BS17">
            <v>1697571</v>
          </cell>
          <cell r="BT17">
            <v>1741726</v>
          </cell>
          <cell r="BU17">
            <v>1785881</v>
          </cell>
          <cell r="BV17">
            <v>1830036</v>
          </cell>
          <cell r="BW17">
            <v>1874191</v>
          </cell>
          <cell r="BX17">
            <v>1918346</v>
          </cell>
          <cell r="BY17">
            <v>1962501</v>
          </cell>
          <cell r="BZ17">
            <v>2006656</v>
          </cell>
          <cell r="CA17">
            <v>2050811</v>
          </cell>
          <cell r="CB17">
            <v>2094966</v>
          </cell>
          <cell r="CC17">
            <v>2139121</v>
          </cell>
          <cell r="CD17">
            <v>2183276</v>
          </cell>
          <cell r="CE17">
            <v>2227431</v>
          </cell>
          <cell r="CF17">
            <v>2271586</v>
          </cell>
          <cell r="CG17">
            <v>2315741</v>
          </cell>
          <cell r="CH17">
            <v>2359896</v>
          </cell>
          <cell r="CI17">
            <v>2404051</v>
          </cell>
          <cell r="CJ17">
            <v>2448206</v>
          </cell>
          <cell r="CK17">
            <v>2492361</v>
          </cell>
          <cell r="CL17">
            <v>2536516</v>
          </cell>
          <cell r="CM17">
            <v>2580671</v>
          </cell>
          <cell r="CN17">
            <v>2624826</v>
          </cell>
          <cell r="CO17">
            <v>2668981</v>
          </cell>
          <cell r="CP17">
            <v>2713136</v>
          </cell>
          <cell r="CQ17">
            <v>2757291</v>
          </cell>
          <cell r="CR17">
            <v>2801446</v>
          </cell>
          <cell r="CS17">
            <v>2845601</v>
          </cell>
          <cell r="CT17">
            <v>2889756</v>
          </cell>
          <cell r="CU17">
            <v>2933911</v>
          </cell>
          <cell r="CV17">
            <v>2978066</v>
          </cell>
          <cell r="CW17">
            <v>3022221</v>
          </cell>
          <cell r="CX17">
            <v>3066376</v>
          </cell>
          <cell r="CY17">
            <v>2355624</v>
          </cell>
          <cell r="CZ17">
            <v>2388341</v>
          </cell>
          <cell r="DA17">
            <v>2421058</v>
          </cell>
          <cell r="DB17">
            <v>2453775</v>
          </cell>
          <cell r="DC17">
            <v>0</v>
          </cell>
          <cell r="DD17">
            <v>0</v>
          </cell>
          <cell r="DE17">
            <v>0</v>
          </cell>
          <cell r="DF17">
            <v>0</v>
          </cell>
          <cell r="DG17">
            <v>0</v>
          </cell>
          <cell r="DH17">
            <v>0</v>
          </cell>
        </row>
        <row r="18">
          <cell r="A18" t="str">
            <v>1140000</v>
          </cell>
          <cell r="B18" t="str">
            <v>1140000</v>
          </cell>
          <cell r="C18" t="str">
            <v>Plant Acquisitn Adj</v>
          </cell>
          <cell r="D18">
            <v>5031897.24</v>
          </cell>
          <cell r="E18">
            <v>5031897.24</v>
          </cell>
          <cell r="F18">
            <v>5031897.24</v>
          </cell>
          <cell r="G18">
            <v>5031897.24</v>
          </cell>
          <cell r="H18">
            <v>5031897.24</v>
          </cell>
          <cell r="I18">
            <v>5031897.24</v>
          </cell>
          <cell r="J18">
            <v>5031897.24</v>
          </cell>
          <cell r="K18">
            <v>5031897.24</v>
          </cell>
          <cell r="L18">
            <v>5031897.24</v>
          </cell>
          <cell r="M18">
            <v>5031897.24</v>
          </cell>
          <cell r="N18">
            <v>5031897.24</v>
          </cell>
          <cell r="O18">
            <v>5031897.24</v>
          </cell>
          <cell r="P18">
            <v>5031897.24</v>
          </cell>
          <cell r="Q18">
            <v>5031897.24</v>
          </cell>
          <cell r="R18">
            <v>5031897.24</v>
          </cell>
          <cell r="S18">
            <v>5031897.24</v>
          </cell>
          <cell r="T18">
            <v>5031897.24</v>
          </cell>
          <cell r="U18">
            <v>5031897.24</v>
          </cell>
          <cell r="V18">
            <v>5031897.24</v>
          </cell>
          <cell r="W18">
            <v>5031897.24</v>
          </cell>
          <cell r="X18">
            <v>5031897.24</v>
          </cell>
          <cell r="Y18">
            <v>5031897.24</v>
          </cell>
          <cell r="Z18">
            <v>5031897.24</v>
          </cell>
          <cell r="AA18">
            <v>5031897.24</v>
          </cell>
          <cell r="AB18">
            <v>5031897.24</v>
          </cell>
          <cell r="AC18">
            <v>5031897.24</v>
          </cell>
          <cell r="AD18">
            <v>5031897.24</v>
          </cell>
          <cell r="AE18">
            <v>5031897.24</v>
          </cell>
          <cell r="AF18">
            <v>5031897.24</v>
          </cell>
          <cell r="AG18">
            <v>5031897.24</v>
          </cell>
          <cell r="AH18">
            <v>5031897.24</v>
          </cell>
          <cell r="AI18">
            <v>5031897.24</v>
          </cell>
          <cell r="AJ18">
            <v>5031897.24</v>
          </cell>
          <cell r="AK18">
            <v>5031897.24</v>
          </cell>
          <cell r="AL18">
            <v>5031897.24</v>
          </cell>
          <cell r="AM18">
            <v>5031897.24</v>
          </cell>
          <cell r="AN18">
            <v>5031897.24</v>
          </cell>
          <cell r="AO18">
            <v>5031897.24</v>
          </cell>
          <cell r="AP18">
            <v>5031897.24</v>
          </cell>
          <cell r="AQ18">
            <v>5031897.24</v>
          </cell>
          <cell r="AR18">
            <v>5031897.24</v>
          </cell>
          <cell r="AS18">
            <v>5031897.24</v>
          </cell>
          <cell r="AT18">
            <v>5031897.24</v>
          </cell>
          <cell r="AU18">
            <v>5031897.24</v>
          </cell>
          <cell r="AV18">
            <v>5031897.24</v>
          </cell>
          <cell r="AW18">
            <v>5031897.24</v>
          </cell>
          <cell r="AX18">
            <v>5031897.24</v>
          </cell>
          <cell r="AY18">
            <v>5031897.24</v>
          </cell>
          <cell r="AZ18">
            <v>5031897.24</v>
          </cell>
          <cell r="BA18">
            <v>5031897.24</v>
          </cell>
          <cell r="BB18">
            <v>5031897.24</v>
          </cell>
          <cell r="BC18">
            <v>5031897.24</v>
          </cell>
          <cell r="BD18">
            <v>5031897.24</v>
          </cell>
          <cell r="BE18">
            <v>5031897.24</v>
          </cell>
          <cell r="BF18">
            <v>5031897.24</v>
          </cell>
          <cell r="BG18">
            <v>5031897.24</v>
          </cell>
          <cell r="BH18">
            <v>5031897.24</v>
          </cell>
          <cell r="BI18">
            <v>5031897.24</v>
          </cell>
          <cell r="BJ18">
            <v>5031897.24</v>
          </cell>
          <cell r="BK18">
            <v>5031897.24</v>
          </cell>
          <cell r="BL18">
            <v>5031897.24</v>
          </cell>
          <cell r="BM18">
            <v>5031897.24</v>
          </cell>
          <cell r="BN18">
            <v>5031897.24</v>
          </cell>
          <cell r="BO18">
            <v>5031897.24</v>
          </cell>
          <cell r="BP18">
            <v>5031897.24</v>
          </cell>
          <cell r="BQ18">
            <v>5031897.24</v>
          </cell>
          <cell r="BR18">
            <v>5031897.24</v>
          </cell>
          <cell r="BS18">
            <v>5031897.24</v>
          </cell>
          <cell r="BT18">
            <v>5031897.24</v>
          </cell>
          <cell r="BU18">
            <v>5031897.24</v>
          </cell>
          <cell r="BV18">
            <v>5031897.24</v>
          </cell>
          <cell r="BW18">
            <v>5031897.24</v>
          </cell>
          <cell r="BX18">
            <v>5031897.24</v>
          </cell>
          <cell r="BY18">
            <v>5031897.24</v>
          </cell>
          <cell r="BZ18">
            <v>5031897.24</v>
          </cell>
          <cell r="CA18">
            <v>5031897.24</v>
          </cell>
          <cell r="CB18">
            <v>5031897.24</v>
          </cell>
          <cell r="CC18">
            <v>5031897.24</v>
          </cell>
          <cell r="CD18">
            <v>5031897.24</v>
          </cell>
          <cell r="CE18">
            <v>5031897.24</v>
          </cell>
          <cell r="CF18">
            <v>5031897.24</v>
          </cell>
          <cell r="CG18">
            <v>5031897.24</v>
          </cell>
          <cell r="CH18">
            <v>5031897.24</v>
          </cell>
          <cell r="CI18">
            <v>5031897.24</v>
          </cell>
          <cell r="CJ18">
            <v>5031897.24</v>
          </cell>
          <cell r="CK18">
            <v>5031897.24</v>
          </cell>
          <cell r="CL18">
            <v>5031897.24</v>
          </cell>
          <cell r="CM18">
            <v>5031897.24</v>
          </cell>
          <cell r="CN18">
            <v>5031897.24</v>
          </cell>
          <cell r="CO18">
            <v>5031897.24</v>
          </cell>
          <cell r="CP18">
            <v>5031897.24</v>
          </cell>
          <cell r="CQ18">
            <v>5031897.24</v>
          </cell>
          <cell r="CR18">
            <v>5031897.24</v>
          </cell>
          <cell r="CS18">
            <v>5031897.24</v>
          </cell>
          <cell r="CT18">
            <v>5031897.24</v>
          </cell>
          <cell r="CU18">
            <v>5031897.24</v>
          </cell>
          <cell r="CV18">
            <v>5031897.24</v>
          </cell>
          <cell r="CW18">
            <v>5031897.24</v>
          </cell>
          <cell r="CX18">
            <v>5031897.24</v>
          </cell>
          <cell r="CY18">
            <v>5031897.24</v>
          </cell>
          <cell r="CZ18">
            <v>5031897.24</v>
          </cell>
          <cell r="DA18">
            <v>5031897.24</v>
          </cell>
          <cell r="DB18">
            <v>5031897.24</v>
          </cell>
          <cell r="DC18">
            <v>5031897.24</v>
          </cell>
          <cell r="DD18">
            <v>5031897.24</v>
          </cell>
          <cell r="DE18">
            <v>5031897.24</v>
          </cell>
          <cell r="DF18">
            <v>5031897.24</v>
          </cell>
          <cell r="DG18">
            <v>5031897.24</v>
          </cell>
          <cell r="DH18">
            <v>5031897.24</v>
          </cell>
        </row>
        <row r="19">
          <cell r="A19" t="str">
            <v>1150000</v>
          </cell>
          <cell r="B19" t="str">
            <v>1150000</v>
          </cell>
          <cell r="C19" t="str">
            <v>Amort Plnt Acq Adj</v>
          </cell>
          <cell r="D19">
            <v>-3962608.63</v>
          </cell>
          <cell r="E19">
            <v>-3975037.45</v>
          </cell>
          <cell r="F19">
            <v>-3987466.27</v>
          </cell>
          <cell r="G19">
            <v>-3999895.09</v>
          </cell>
          <cell r="H19">
            <v>-4012323.91</v>
          </cell>
          <cell r="I19">
            <v>-4024752.73</v>
          </cell>
          <cell r="J19">
            <v>-4037181.55</v>
          </cell>
          <cell r="K19">
            <v>-4049610.37</v>
          </cell>
          <cell r="L19">
            <v>-4062039.19</v>
          </cell>
          <cell r="M19">
            <v>-4074468.01</v>
          </cell>
          <cell r="N19">
            <v>-4086896.83</v>
          </cell>
          <cell r="O19">
            <v>-4099325.65</v>
          </cell>
          <cell r="P19">
            <v>-4111754.47</v>
          </cell>
          <cell r="Q19">
            <v>-4124183.29</v>
          </cell>
          <cell r="R19">
            <v>-4136612.11</v>
          </cell>
          <cell r="S19">
            <v>-4149040.93</v>
          </cell>
          <cell r="T19">
            <v>-4161469.75</v>
          </cell>
          <cell r="U19">
            <v>-4173898.57</v>
          </cell>
          <cell r="V19">
            <v>-4186327.39</v>
          </cell>
          <cell r="W19">
            <v>-4198756.21</v>
          </cell>
          <cell r="X19">
            <v>-4211185.03</v>
          </cell>
          <cell r="Y19">
            <v>-4223613.8499999996</v>
          </cell>
          <cell r="Z19">
            <v>-4236042.67</v>
          </cell>
          <cell r="AA19">
            <v>-4248471.49</v>
          </cell>
          <cell r="AB19">
            <v>-4260900.3099999996</v>
          </cell>
          <cell r="AC19">
            <v>-4273329.13</v>
          </cell>
          <cell r="AD19">
            <v>-4285757.95</v>
          </cell>
          <cell r="AE19">
            <v>-4298186.7699999996</v>
          </cell>
          <cell r="AF19">
            <v>-4310615.59</v>
          </cell>
          <cell r="AG19">
            <v>-4323044.41</v>
          </cell>
          <cell r="AH19">
            <v>-4335473.2300000004</v>
          </cell>
          <cell r="AI19">
            <v>-4347902.05</v>
          </cell>
          <cell r="AJ19">
            <v>-4360330.87</v>
          </cell>
          <cell r="AK19">
            <v>-4372759.6900000004</v>
          </cell>
          <cell r="AL19">
            <v>-4385188.51</v>
          </cell>
          <cell r="AM19">
            <v>-4397617.33</v>
          </cell>
          <cell r="AN19">
            <v>-4410046.1500000004</v>
          </cell>
          <cell r="AO19">
            <v>-4422474.97</v>
          </cell>
          <cell r="AP19">
            <v>-4434903.79</v>
          </cell>
          <cell r="AQ19">
            <v>-4447332.6100000003</v>
          </cell>
          <cell r="AR19">
            <v>-4459761.43</v>
          </cell>
          <cell r="AS19">
            <v>-4472190.25</v>
          </cell>
          <cell r="AT19">
            <v>-4484619.07</v>
          </cell>
          <cell r="AU19">
            <v>-4497047.8899999997</v>
          </cell>
          <cell r="AV19">
            <v>-4509476.71</v>
          </cell>
          <cell r="AW19">
            <v>-4521905.53</v>
          </cell>
          <cell r="AX19">
            <v>-4534334.3499999996</v>
          </cell>
          <cell r="AY19">
            <v>-4546763.17</v>
          </cell>
          <cell r="AZ19">
            <v>-4559191.99</v>
          </cell>
          <cell r="BA19">
            <v>-4571620.8099999996</v>
          </cell>
          <cell r="BB19">
            <v>-4584049.63</v>
          </cell>
          <cell r="BC19">
            <v>-4596478.45</v>
          </cell>
          <cell r="BD19">
            <v>-4608907.2699999996</v>
          </cell>
          <cell r="BE19">
            <v>-4621336.09</v>
          </cell>
          <cell r="BF19">
            <v>-4633764.91</v>
          </cell>
          <cell r="BG19">
            <v>-4646193.7300000004</v>
          </cell>
          <cell r="BH19">
            <v>-4658622.55</v>
          </cell>
          <cell r="BI19">
            <v>-4671051.37</v>
          </cell>
          <cell r="BJ19">
            <v>-4683480.1900000004</v>
          </cell>
          <cell r="BK19">
            <v>-4695909.01</v>
          </cell>
          <cell r="BL19">
            <v>-4708337.83</v>
          </cell>
          <cell r="BM19">
            <v>-4720766.6500000004</v>
          </cell>
          <cell r="BN19">
            <v>-4733195.47</v>
          </cell>
          <cell r="BO19">
            <v>-4745624.29</v>
          </cell>
          <cell r="BP19">
            <v>-4758053.1100000003</v>
          </cell>
          <cell r="BQ19">
            <v>-4770481.93</v>
          </cell>
          <cell r="BR19">
            <v>-4782910.75</v>
          </cell>
          <cell r="BS19">
            <v>-4795339.57</v>
          </cell>
          <cell r="BT19">
            <v>-4807768.3899999997</v>
          </cell>
          <cell r="BU19">
            <v>-4820197.21</v>
          </cell>
          <cell r="BV19">
            <v>-4832626.03</v>
          </cell>
          <cell r="BW19">
            <v>-4845054.8499999996</v>
          </cell>
          <cell r="BX19">
            <v>-4857483.67</v>
          </cell>
          <cell r="BY19">
            <v>-4869912.49</v>
          </cell>
          <cell r="BZ19">
            <v>-4882341.3099999996</v>
          </cell>
          <cell r="CA19">
            <v>-4894770.13</v>
          </cell>
          <cell r="CB19">
            <v>-4907198.95</v>
          </cell>
          <cell r="CC19">
            <v>-4919627.7699999996</v>
          </cell>
          <cell r="CD19">
            <v>-4932056.59</v>
          </cell>
          <cell r="CE19">
            <v>-4944485.41</v>
          </cell>
          <cell r="CF19">
            <v>-4956914.2300000004</v>
          </cell>
          <cell r="CG19">
            <v>-4969343.05</v>
          </cell>
          <cell r="CH19">
            <v>-4975292.78</v>
          </cell>
          <cell r="CI19">
            <v>-4981242.51</v>
          </cell>
          <cell r="CJ19">
            <v>-4987192.24</v>
          </cell>
          <cell r="CK19">
            <v>-4993141.97</v>
          </cell>
          <cell r="CL19">
            <v>-4999091.7</v>
          </cell>
          <cell r="CM19">
            <v>-5005041.43</v>
          </cell>
          <cell r="CN19">
            <v>-5010991.16</v>
          </cell>
          <cell r="CO19">
            <v>-5016940.8899999997</v>
          </cell>
          <cell r="CP19">
            <v>-5022890.62</v>
          </cell>
          <cell r="CQ19">
            <v>-5028840.3499999996</v>
          </cell>
          <cell r="CR19">
            <v>-5028152.9800000004</v>
          </cell>
          <cell r="CS19">
            <v>-5028152.9800000004</v>
          </cell>
          <cell r="CT19">
            <v>-5028152.9800000004</v>
          </cell>
          <cell r="CU19">
            <v>-5028152.9800000004</v>
          </cell>
          <cell r="CV19">
            <v>-5028152.9800000004</v>
          </cell>
          <cell r="CW19">
            <v>-5028152.9800000004</v>
          </cell>
          <cell r="CX19">
            <v>-5028152.9800000004</v>
          </cell>
          <cell r="CY19">
            <v>-5028152.9800000004</v>
          </cell>
          <cell r="CZ19">
            <v>-5028152.9800000004</v>
          </cell>
          <cell r="DA19">
            <v>-5028152.9800000004</v>
          </cell>
          <cell r="DB19">
            <v>-5028152.9800000004</v>
          </cell>
          <cell r="DC19">
            <v>-5028152.9800000004</v>
          </cell>
          <cell r="DD19">
            <v>-5028152.9800000004</v>
          </cell>
          <cell r="DE19">
            <v>-5028152.9800000004</v>
          </cell>
          <cell r="DF19">
            <v>-5028152.9800000004</v>
          </cell>
          <cell r="DG19">
            <v>-5028152.9800000004</v>
          </cell>
          <cell r="DH19">
            <v>-5028152.9800000004</v>
          </cell>
        </row>
        <row r="20">
          <cell r="A20" t="str">
            <v>1231000</v>
          </cell>
          <cell r="B20" t="str">
            <v>1231000</v>
          </cell>
          <cell r="C20" t="str">
            <v>Inv Subsidiaries</v>
          </cell>
          <cell r="D20">
            <v>1072286.1399999999</v>
          </cell>
          <cell r="E20">
            <v>690737.44</v>
          </cell>
          <cell r="F20">
            <v>1021328.38</v>
          </cell>
          <cell r="G20">
            <v>1227819.6399999999</v>
          </cell>
          <cell r="H20">
            <v>789786.66</v>
          </cell>
          <cell r="I20">
            <v>968313.89</v>
          </cell>
          <cell r="J20">
            <v>1230761.6100000001</v>
          </cell>
          <cell r="K20">
            <v>805462.03</v>
          </cell>
          <cell r="L20">
            <v>1003294.07</v>
          </cell>
          <cell r="M20">
            <v>1072047.3899999999</v>
          </cell>
          <cell r="N20">
            <v>665438.34</v>
          </cell>
          <cell r="O20">
            <v>833785.45</v>
          </cell>
          <cell r="P20">
            <v>1026666.02</v>
          </cell>
          <cell r="Q20">
            <v>1417441.09</v>
          </cell>
          <cell r="R20">
            <v>1096979.0900000001</v>
          </cell>
          <cell r="S20">
            <v>1247742.3799999999</v>
          </cell>
          <cell r="T20">
            <v>570274.97</v>
          </cell>
          <cell r="U20">
            <v>794634.67</v>
          </cell>
          <cell r="V20">
            <v>1010928.84</v>
          </cell>
          <cell r="W20">
            <v>671653.09</v>
          </cell>
          <cell r="X20">
            <v>842696.67</v>
          </cell>
          <cell r="Y20">
            <v>1066034.9099999999</v>
          </cell>
          <cell r="Z20">
            <v>1196268.3899999999</v>
          </cell>
          <cell r="AA20">
            <v>846357.32</v>
          </cell>
          <cell r="AB20">
            <v>1550191.33</v>
          </cell>
          <cell r="AC20">
            <v>1846471.79</v>
          </cell>
          <cell r="AD20">
            <v>1665481.94</v>
          </cell>
          <cell r="AE20">
            <v>1768137.91</v>
          </cell>
          <cell r="AF20">
            <v>1890203.72</v>
          </cell>
          <cell r="AG20">
            <v>817696.9</v>
          </cell>
          <cell r="AH20">
            <v>451270.74</v>
          </cell>
          <cell r="AI20">
            <v>666141.99</v>
          </cell>
          <cell r="AJ20">
            <v>943907.39</v>
          </cell>
          <cell r="AK20">
            <v>1124178.3799999999</v>
          </cell>
          <cell r="AL20">
            <v>1893574.75</v>
          </cell>
          <cell r="AM20">
            <v>1455090.61</v>
          </cell>
          <cell r="AN20">
            <v>1676407.65</v>
          </cell>
          <cell r="AO20">
            <v>2030340.05</v>
          </cell>
          <cell r="AP20">
            <v>1185824.46</v>
          </cell>
          <cell r="AQ20">
            <v>1472993.61</v>
          </cell>
          <cell r="AR20">
            <v>1619962.16</v>
          </cell>
          <cell r="AS20">
            <v>1068540.05</v>
          </cell>
          <cell r="AT20">
            <v>915178.88</v>
          </cell>
          <cell r="AU20">
            <v>1208435.27</v>
          </cell>
          <cell r="AV20">
            <v>564156.92000000004</v>
          </cell>
          <cell r="AW20">
            <v>862127.45</v>
          </cell>
          <cell r="AX20">
            <v>1107738.21</v>
          </cell>
          <cell r="AY20">
            <v>1166609.79</v>
          </cell>
          <cell r="AZ20">
            <v>1715678.71</v>
          </cell>
          <cell r="BA20">
            <v>2142944.46</v>
          </cell>
          <cell r="BB20">
            <v>1123292.52</v>
          </cell>
          <cell r="BC20">
            <v>1235895.02</v>
          </cell>
          <cell r="BD20">
            <v>1742173.74</v>
          </cell>
          <cell r="BE20">
            <v>1049799.92</v>
          </cell>
          <cell r="BF20">
            <v>1272460.1100000001</v>
          </cell>
          <cell r="BG20">
            <v>1562003.94</v>
          </cell>
          <cell r="BH20">
            <v>760636.27</v>
          </cell>
          <cell r="BI20">
            <v>935108.73</v>
          </cell>
          <cell r="BJ20">
            <v>1188785.76</v>
          </cell>
          <cell r="BK20">
            <v>777880.49</v>
          </cell>
          <cell r="BL20">
            <v>1195217.6599999999</v>
          </cell>
          <cell r="BM20">
            <v>1451866.25</v>
          </cell>
          <cell r="BN20">
            <v>823643.62</v>
          </cell>
          <cell r="BO20">
            <v>1284772.3600000001</v>
          </cell>
          <cell r="BP20">
            <v>1701879.38</v>
          </cell>
          <cell r="BQ20">
            <v>1022397.48</v>
          </cell>
          <cell r="BR20">
            <v>1256931.8</v>
          </cell>
          <cell r="BS20">
            <v>1595861.92</v>
          </cell>
          <cell r="BT20">
            <v>1079865.1299999999</v>
          </cell>
          <cell r="BU20">
            <v>1299029.46</v>
          </cell>
          <cell r="BV20">
            <v>1496620.32</v>
          </cell>
          <cell r="BW20">
            <v>673250.97</v>
          </cell>
          <cell r="BX20">
            <v>902043.41</v>
          </cell>
          <cell r="BY20">
            <v>1028316.05</v>
          </cell>
          <cell r="BZ20">
            <v>832643.11</v>
          </cell>
          <cell r="CA20">
            <v>926542.53</v>
          </cell>
          <cell r="CB20">
            <v>1260989.77</v>
          </cell>
          <cell r="CC20">
            <v>1026254.93</v>
          </cell>
          <cell r="CD20">
            <v>1250596.3700000001</v>
          </cell>
          <cell r="CE20">
            <v>1439036.29</v>
          </cell>
          <cell r="CF20">
            <v>781252.78</v>
          </cell>
          <cell r="CG20">
            <v>1020483.08</v>
          </cell>
          <cell r="CH20">
            <v>1371276.5</v>
          </cell>
          <cell r="CI20">
            <v>841297.66</v>
          </cell>
          <cell r="CJ20">
            <v>1208345.97</v>
          </cell>
          <cell r="CK20">
            <v>1542480.94</v>
          </cell>
          <cell r="CL20">
            <v>1003468.87</v>
          </cell>
          <cell r="CM20">
            <v>1278830.19</v>
          </cell>
          <cell r="CN20">
            <v>612943.16</v>
          </cell>
          <cell r="CO20">
            <v>1003456.24</v>
          </cell>
          <cell r="CP20">
            <v>1274946.82</v>
          </cell>
          <cell r="CQ20">
            <v>1549067.57</v>
          </cell>
          <cell r="CR20">
            <v>892660.69</v>
          </cell>
          <cell r="CS20">
            <v>1188488.3400000001</v>
          </cell>
          <cell r="CT20">
            <v>1502236.12</v>
          </cell>
          <cell r="CU20">
            <v>868331.8</v>
          </cell>
          <cell r="CV20">
            <v>1027776.72</v>
          </cell>
          <cell r="CW20">
            <v>1172773.1200000001</v>
          </cell>
          <cell r="CX20">
            <v>679786.76</v>
          </cell>
          <cell r="CY20">
            <v>1153410.45</v>
          </cell>
          <cell r="CZ20">
            <v>538847.81999999995</v>
          </cell>
          <cell r="DA20">
            <v>814853.23</v>
          </cell>
          <cell r="DB20">
            <v>1037827.6</v>
          </cell>
          <cell r="DC20">
            <v>1474440.33</v>
          </cell>
          <cell r="DD20">
            <v>1006071.92</v>
          </cell>
          <cell r="DE20">
            <v>1343627.69</v>
          </cell>
          <cell r="DF20">
            <v>532971.34</v>
          </cell>
          <cell r="DG20">
            <v>833075.57</v>
          </cell>
          <cell r="DH20">
            <v>846204.52</v>
          </cell>
        </row>
        <row r="21">
          <cell r="A21" t="str">
            <v>1310180</v>
          </cell>
          <cell r="B21" t="str">
            <v>1310180</v>
          </cell>
          <cell r="C21" t="str">
            <v>JPM 3428 Concentratn</v>
          </cell>
          <cell r="D21">
            <v>854815.57</v>
          </cell>
          <cell r="E21">
            <v>661843.68000000005</v>
          </cell>
          <cell r="F21">
            <v>924904.98</v>
          </cell>
          <cell r="G21">
            <v>1024070.57</v>
          </cell>
          <cell r="H21">
            <v>1305784.8</v>
          </cell>
          <cell r="I21">
            <v>10340489.99</v>
          </cell>
          <cell r="J21">
            <v>7815621.4199999999</v>
          </cell>
          <cell r="K21">
            <v>9387597.6600000001</v>
          </cell>
          <cell r="L21">
            <v>850191.94</v>
          </cell>
          <cell r="M21">
            <v>743876.29</v>
          </cell>
          <cell r="N21">
            <v>3692806.89</v>
          </cell>
          <cell r="O21">
            <v>4648640.5199999996</v>
          </cell>
          <cell r="P21">
            <v>585926.86</v>
          </cell>
          <cell r="Q21">
            <v>579112.88</v>
          </cell>
          <cell r="R21">
            <v>556338.87</v>
          </cell>
          <cell r="S21">
            <v>473980.34</v>
          </cell>
          <cell r="T21">
            <v>547609.64</v>
          </cell>
          <cell r="U21">
            <v>26328236.010000002</v>
          </cell>
          <cell r="V21">
            <v>21575472.969999999</v>
          </cell>
          <cell r="W21">
            <v>25276954.329999998</v>
          </cell>
          <cell r="X21">
            <v>25642033.100000001</v>
          </cell>
          <cell r="Y21">
            <v>23546556.809999999</v>
          </cell>
          <cell r="Z21">
            <v>8806099.6099999994</v>
          </cell>
          <cell r="AA21">
            <v>8378742.0599999996</v>
          </cell>
          <cell r="AB21">
            <v>1927001.38</v>
          </cell>
          <cell r="AC21">
            <v>549407.79</v>
          </cell>
          <cell r="AD21">
            <v>671614.12</v>
          </cell>
          <cell r="AE21">
            <v>22075282.539999999</v>
          </cell>
          <cell r="AF21">
            <v>297651.90999999997</v>
          </cell>
          <cell r="AG21">
            <v>662687.07999999996</v>
          </cell>
          <cell r="AH21">
            <v>599825.23</v>
          </cell>
          <cell r="AI21">
            <v>619928.79</v>
          </cell>
          <cell r="AJ21">
            <v>557419.53</v>
          </cell>
          <cell r="AK21">
            <v>656809.67000000004</v>
          </cell>
          <cell r="AL21">
            <v>572076.66</v>
          </cell>
          <cell r="AM21">
            <v>601132.79</v>
          </cell>
          <cell r="AN21">
            <v>818171.77</v>
          </cell>
          <cell r="AO21">
            <v>637802.86</v>
          </cell>
          <cell r="AP21">
            <v>646762.9</v>
          </cell>
          <cell r="AQ21">
            <v>675305.84</v>
          </cell>
          <cell r="AR21">
            <v>646663.01</v>
          </cell>
          <cell r="AS21">
            <v>571795.04</v>
          </cell>
          <cell r="AT21">
            <v>709690.96</v>
          </cell>
          <cell r="AU21">
            <v>614747.28</v>
          </cell>
          <cell r="AV21">
            <v>614391.43999999994</v>
          </cell>
          <cell r="AW21">
            <v>1095273.49</v>
          </cell>
          <cell r="AX21">
            <v>687301.89</v>
          </cell>
          <cell r="AY21">
            <v>730359.73</v>
          </cell>
          <cell r="AZ21">
            <v>681072.76</v>
          </cell>
          <cell r="BA21">
            <v>719315.4</v>
          </cell>
          <cell r="BB21">
            <v>696914.39</v>
          </cell>
          <cell r="BC21">
            <v>2644856.91</v>
          </cell>
          <cell r="BD21">
            <v>745369.21</v>
          </cell>
          <cell r="BE21">
            <v>640773.44999999995</v>
          </cell>
          <cell r="BF21">
            <v>708236.77</v>
          </cell>
          <cell r="BG21">
            <v>557876.63</v>
          </cell>
          <cell r="BH21">
            <v>678369.39</v>
          </cell>
          <cell r="BI21">
            <v>729174.77</v>
          </cell>
          <cell r="BJ21">
            <v>660169.24</v>
          </cell>
          <cell r="BK21">
            <v>709709.23</v>
          </cell>
          <cell r="BL21">
            <v>1018274.8</v>
          </cell>
          <cell r="BM21">
            <v>620747.97</v>
          </cell>
          <cell r="BN21">
            <v>1202930.22</v>
          </cell>
          <cell r="BO21">
            <v>704923.74</v>
          </cell>
          <cell r="BP21">
            <v>1063591.54</v>
          </cell>
          <cell r="BQ21">
            <v>1046393.18</v>
          </cell>
          <cell r="BR21">
            <v>911536.45</v>
          </cell>
          <cell r="BS21">
            <v>647143.74</v>
          </cell>
          <cell r="BT21">
            <v>1009822.93</v>
          </cell>
          <cell r="BU21">
            <v>1059380.8899999999</v>
          </cell>
          <cell r="BV21">
            <v>1198188.1399999999</v>
          </cell>
          <cell r="BW21">
            <v>8018323.5199999996</v>
          </cell>
          <cell r="BX21">
            <v>994252.87</v>
          </cell>
          <cell r="BY21">
            <v>630038.43999999994</v>
          </cell>
          <cell r="BZ21">
            <v>1538150.9</v>
          </cell>
          <cell r="CA21">
            <v>1044381.48</v>
          </cell>
          <cell r="CB21">
            <v>1015364.45</v>
          </cell>
          <cell r="CC21">
            <v>1034529.03</v>
          </cell>
          <cell r="CD21">
            <v>1010362.23</v>
          </cell>
          <cell r="CE21">
            <v>954111.76</v>
          </cell>
          <cell r="CF21">
            <v>944421.79</v>
          </cell>
          <cell r="CG21">
            <v>723426.49</v>
          </cell>
          <cell r="CH21">
            <v>614929.98</v>
          </cell>
          <cell r="CI21">
            <v>3866819.45</v>
          </cell>
          <cell r="CJ21">
            <v>1057359.6100000001</v>
          </cell>
          <cell r="CK21">
            <v>579831.86</v>
          </cell>
          <cell r="CL21">
            <v>704088.34</v>
          </cell>
          <cell r="CM21">
            <v>609290.61</v>
          </cell>
          <cell r="CN21">
            <v>642186.61</v>
          </cell>
          <cell r="CO21">
            <v>912798.05</v>
          </cell>
          <cell r="CP21">
            <v>761599.99</v>
          </cell>
          <cell r="CQ21">
            <v>714396.9</v>
          </cell>
          <cell r="CR21">
            <v>986515.46</v>
          </cell>
          <cell r="CS21">
            <v>980118.27</v>
          </cell>
          <cell r="CT21">
            <v>678663.65</v>
          </cell>
          <cell r="CU21">
            <v>884462.77</v>
          </cell>
          <cell r="CV21">
            <v>3275417.08</v>
          </cell>
          <cell r="CW21">
            <v>648250.16</v>
          </cell>
          <cell r="CX21">
            <v>690347.1</v>
          </cell>
          <cell r="CY21">
            <v>663840.46</v>
          </cell>
          <cell r="CZ21">
            <v>758631.41</v>
          </cell>
          <cell r="DA21">
            <v>670883.91</v>
          </cell>
          <cell r="DB21">
            <v>1098691.8899999999</v>
          </cell>
          <cell r="DC21">
            <v>1807908.29</v>
          </cell>
          <cell r="DD21">
            <v>637265.87</v>
          </cell>
          <cell r="DE21">
            <v>1236452.8700000001</v>
          </cell>
          <cell r="DF21">
            <v>608831.79</v>
          </cell>
          <cell r="DG21">
            <v>632468.51</v>
          </cell>
          <cell r="DH21">
            <v>165092.31</v>
          </cell>
        </row>
        <row r="22">
          <cell r="A22" t="str">
            <v>1310181</v>
          </cell>
          <cell r="B22" t="str">
            <v>1310181</v>
          </cell>
          <cell r="C22" t="str">
            <v>JPM 3428 ACH Out</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row>
        <row r="23">
          <cell r="A23" t="str">
            <v>1310187</v>
          </cell>
          <cell r="B23" t="str">
            <v>1310187</v>
          </cell>
          <cell r="C23" t="str">
            <v>JPM 3428 ZBA</v>
          </cell>
          <cell r="D23">
            <v>1000476.12</v>
          </cell>
          <cell r="E23">
            <v>514412.59</v>
          </cell>
          <cell r="F23">
            <v>826890.32</v>
          </cell>
          <cell r="G23">
            <v>319907.7</v>
          </cell>
          <cell r="H23">
            <v>414602.05</v>
          </cell>
          <cell r="I23">
            <v>692083.33</v>
          </cell>
          <cell r="J23">
            <v>617357.43000000005</v>
          </cell>
          <cell r="K23">
            <v>285129.64</v>
          </cell>
          <cell r="L23">
            <v>629758.16</v>
          </cell>
          <cell r="M23">
            <v>1041821.69</v>
          </cell>
          <cell r="N23">
            <v>822923.54</v>
          </cell>
          <cell r="O23">
            <v>1268260.1399999999</v>
          </cell>
          <cell r="P23">
            <v>1258474.46</v>
          </cell>
          <cell r="Q23">
            <v>570846.76</v>
          </cell>
          <cell r="R23">
            <v>249456</v>
          </cell>
          <cell r="S23">
            <v>688255.03</v>
          </cell>
          <cell r="T23">
            <v>669083.65</v>
          </cell>
          <cell r="U23">
            <v>1074762.75</v>
          </cell>
          <cell r="V23">
            <v>1292010.8799999999</v>
          </cell>
          <cell r="W23">
            <v>959054.16</v>
          </cell>
          <cell r="X23">
            <v>1142006.72</v>
          </cell>
          <cell r="Y23">
            <v>1649423.17</v>
          </cell>
          <cell r="Z23">
            <v>1180035.79</v>
          </cell>
          <cell r="AA23">
            <v>1194367.04</v>
          </cell>
          <cell r="AB23">
            <v>1450809.67</v>
          </cell>
          <cell r="AC23">
            <v>35947.31</v>
          </cell>
          <cell r="AD23">
            <v>237712.28</v>
          </cell>
          <cell r="AE23">
            <v>-21447.94</v>
          </cell>
          <cell r="AF23">
            <v>325285.39</v>
          </cell>
          <cell r="AG23">
            <v>1271006.3600000001</v>
          </cell>
          <cell r="AH23">
            <v>1794283.64</v>
          </cell>
          <cell r="AI23">
            <v>1303920.98</v>
          </cell>
          <cell r="AJ23">
            <v>1002082.64</v>
          </cell>
          <cell r="AK23">
            <v>741266.25</v>
          </cell>
          <cell r="AL23">
            <v>426507.98</v>
          </cell>
          <cell r="AM23">
            <v>-366003.82</v>
          </cell>
          <cell r="AN23">
            <v>477724.18</v>
          </cell>
          <cell r="AO23">
            <v>373031.27</v>
          </cell>
          <cell r="AP23">
            <v>1896689.58</v>
          </cell>
          <cell r="AQ23">
            <v>1980837.44</v>
          </cell>
          <cell r="AR23">
            <v>2625657.86</v>
          </cell>
          <cell r="AS23">
            <v>3260593.25</v>
          </cell>
          <cell r="AT23">
            <v>3438603.64</v>
          </cell>
          <cell r="AU23">
            <v>3286863.11</v>
          </cell>
          <cell r="AV23">
            <v>3754296.47</v>
          </cell>
          <cell r="AW23">
            <v>4247608.74</v>
          </cell>
          <cell r="AX23">
            <v>4182584.75</v>
          </cell>
          <cell r="AY23">
            <v>3880070.35</v>
          </cell>
          <cell r="AZ23">
            <v>4086700.25</v>
          </cell>
          <cell r="BA23">
            <v>2911185.93</v>
          </cell>
          <cell r="BB23">
            <v>4778478.55</v>
          </cell>
          <cell r="BC23">
            <v>4764918.57</v>
          </cell>
          <cell r="BD23">
            <v>4705005.87</v>
          </cell>
          <cell r="BE23">
            <v>5621894.6100000003</v>
          </cell>
          <cell r="BF23">
            <v>5295981.92</v>
          </cell>
          <cell r="BG23">
            <v>5045305.79</v>
          </cell>
          <cell r="BH23">
            <v>5840427.7199999997</v>
          </cell>
          <cell r="BI23">
            <v>5806311.6299999999</v>
          </cell>
          <cell r="BJ23">
            <v>5738346.0800000001</v>
          </cell>
          <cell r="BK23">
            <v>6056047.2300000004</v>
          </cell>
          <cell r="BL23">
            <v>6039023.0700000003</v>
          </cell>
          <cell r="BM23">
            <v>6880849.8099999996</v>
          </cell>
          <cell r="BN23">
            <v>7098255.2800000003</v>
          </cell>
          <cell r="BO23">
            <v>7117504.8799999999</v>
          </cell>
          <cell r="BP23">
            <v>7013590.6799999997</v>
          </cell>
          <cell r="BQ23">
            <v>7612102.7800000003</v>
          </cell>
          <cell r="BR23">
            <v>7697795.9299999997</v>
          </cell>
          <cell r="BS23">
            <v>7648262.1299999999</v>
          </cell>
          <cell r="BT23">
            <v>8492932.2699999996</v>
          </cell>
          <cell r="BU23">
            <v>8819620.75</v>
          </cell>
          <cell r="BV23">
            <v>8197965.4299999997</v>
          </cell>
          <cell r="BW23">
            <v>9022419.7400000002</v>
          </cell>
          <cell r="BX23">
            <v>9358422.9499999993</v>
          </cell>
          <cell r="BY23">
            <v>8782897.5999999996</v>
          </cell>
          <cell r="BZ23">
            <v>9922360.0099999998</v>
          </cell>
          <cell r="CA23">
            <v>9604001.5899999999</v>
          </cell>
          <cell r="CB23">
            <v>10116400.779999999</v>
          </cell>
          <cell r="CC23">
            <v>10104312.289999999</v>
          </cell>
          <cell r="CD23">
            <v>9855581.2599999998</v>
          </cell>
          <cell r="CE23">
            <v>9665812.9100000001</v>
          </cell>
          <cell r="CF23">
            <v>10417693.32</v>
          </cell>
          <cell r="CG23">
            <v>10371590.91</v>
          </cell>
          <cell r="CH23">
            <v>9788294.5</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row>
        <row r="24">
          <cell r="A24" t="str">
            <v>1310190</v>
          </cell>
          <cell r="B24" t="str">
            <v>1310190</v>
          </cell>
          <cell r="C24" t="str">
            <v>JPM 3444 Operations</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row>
        <row r="25">
          <cell r="A25" t="str">
            <v>1310191</v>
          </cell>
          <cell r="B25" t="str">
            <v>1310191</v>
          </cell>
          <cell r="C25" t="str">
            <v>JPM 3444 ACH Out</v>
          </cell>
          <cell r="D25">
            <v>0</v>
          </cell>
          <cell r="E25">
            <v>0</v>
          </cell>
          <cell r="F25">
            <v>0</v>
          </cell>
          <cell r="G25">
            <v>-9646.65</v>
          </cell>
          <cell r="H25">
            <v>0</v>
          </cell>
          <cell r="I25">
            <v>0</v>
          </cell>
          <cell r="J25">
            <v>-5152.2700000000004</v>
          </cell>
          <cell r="K25">
            <v>-447.44</v>
          </cell>
          <cell r="L25">
            <v>0</v>
          </cell>
          <cell r="M25">
            <v>0</v>
          </cell>
          <cell r="N25">
            <v>-4263.3999999999996</v>
          </cell>
          <cell r="O25">
            <v>0</v>
          </cell>
          <cell r="P25">
            <v>-1608.51</v>
          </cell>
          <cell r="Q25">
            <v>-9972.57</v>
          </cell>
          <cell r="R25">
            <v>0</v>
          </cell>
          <cell r="S25">
            <v>0</v>
          </cell>
          <cell r="T25">
            <v>-11369.06</v>
          </cell>
          <cell r="U25">
            <v>0</v>
          </cell>
          <cell r="V25">
            <v>-9993.23</v>
          </cell>
          <cell r="W25">
            <v>-11608.8</v>
          </cell>
          <cell r="X25">
            <v>-9744.02</v>
          </cell>
          <cell r="Y25">
            <v>0</v>
          </cell>
          <cell r="Z25">
            <v>0</v>
          </cell>
          <cell r="AA25">
            <v>-5708</v>
          </cell>
          <cell r="AB25">
            <v>-3657.68</v>
          </cell>
          <cell r="AC25">
            <v>-440</v>
          </cell>
          <cell r="AD25">
            <v>-1171.8699999999999</v>
          </cell>
          <cell r="AE25">
            <v>-1751</v>
          </cell>
          <cell r="AF25">
            <v>-16114.68</v>
          </cell>
          <cell r="AG25">
            <v>-6903.79</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-6253.62</v>
          </cell>
        </row>
        <row r="26">
          <cell r="A26" t="str">
            <v>1310192</v>
          </cell>
          <cell r="B26" t="str">
            <v>1310192</v>
          </cell>
          <cell r="C26" t="str">
            <v>JPM 3444 ACH In</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row>
        <row r="27">
          <cell r="A27" t="str">
            <v>1310193</v>
          </cell>
          <cell r="B27" t="str">
            <v>1310193</v>
          </cell>
          <cell r="C27" t="str">
            <v>JPM 3444 Wire Out</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row>
        <row r="28">
          <cell r="A28" t="str">
            <v>1310194</v>
          </cell>
          <cell r="B28" t="str">
            <v>1310194</v>
          </cell>
          <cell r="C28" t="str">
            <v>JPM 3444 Wire In</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row>
        <row r="29">
          <cell r="A29" t="str">
            <v>1310200</v>
          </cell>
          <cell r="B29" t="str">
            <v>1310200</v>
          </cell>
          <cell r="C29" t="str">
            <v>JPM 1238 Payroll</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row>
        <row r="30">
          <cell r="A30" t="str">
            <v>1310201</v>
          </cell>
          <cell r="B30" t="str">
            <v>1310201</v>
          </cell>
          <cell r="C30" t="str">
            <v>JPM 1238 ACH Out</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1591.87</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608.38</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750.01</v>
          </cell>
          <cell r="BL30">
            <v>260</v>
          </cell>
          <cell r="BM30">
            <v>260</v>
          </cell>
          <cell r="BN30">
            <v>0</v>
          </cell>
          <cell r="BO30">
            <v>0</v>
          </cell>
          <cell r="BP30">
            <v>0</v>
          </cell>
          <cell r="BQ30">
            <v>0</v>
          </cell>
          <cell r="BR30">
            <v>0</v>
          </cell>
          <cell r="BS30">
            <v>0</v>
          </cell>
          <cell r="BT30">
            <v>0</v>
          </cell>
          <cell r="BU30">
            <v>0</v>
          </cell>
          <cell r="BV30">
            <v>539.24</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-983.37</v>
          </cell>
          <cell r="DD30">
            <v>-5426.85</v>
          </cell>
          <cell r="DE30">
            <v>-6410.22</v>
          </cell>
          <cell r="DF30">
            <v>-3460.11</v>
          </cell>
          <cell r="DG30">
            <v>-3460.11</v>
          </cell>
          <cell r="DH30">
            <v>0</v>
          </cell>
        </row>
        <row r="31">
          <cell r="A31" t="str">
            <v>1310202</v>
          </cell>
          <cell r="B31" t="str">
            <v>1310202</v>
          </cell>
          <cell r="C31" t="str">
            <v>JPM 1238 ACH In</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-500.01</v>
          </cell>
          <cell r="BJ31">
            <v>-500.01</v>
          </cell>
          <cell r="BK31">
            <v>-500.01</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row>
        <row r="32">
          <cell r="A32" t="str">
            <v>1310205</v>
          </cell>
          <cell r="B32" t="str">
            <v>1310205</v>
          </cell>
          <cell r="C32" t="str">
            <v>JPM 1238 Check Out</v>
          </cell>
          <cell r="D32">
            <v>-13257.76</v>
          </cell>
          <cell r="E32">
            <v>-301304.73</v>
          </cell>
          <cell r="F32">
            <v>-21503.85</v>
          </cell>
          <cell r="G32">
            <v>-100</v>
          </cell>
          <cell r="H32">
            <v>-550</v>
          </cell>
          <cell r="I32">
            <v>-21010.68</v>
          </cell>
          <cell r="J32">
            <v>-5455.42</v>
          </cell>
          <cell r="K32">
            <v>-3607.4</v>
          </cell>
          <cell r="L32">
            <v>-271.73</v>
          </cell>
          <cell r="M32">
            <v>-100</v>
          </cell>
          <cell r="N32">
            <v>-9714.24</v>
          </cell>
          <cell r="O32">
            <v>-8559.6</v>
          </cell>
          <cell r="P32">
            <v>-6879.98</v>
          </cell>
          <cell r="Q32">
            <v>-2919.89</v>
          </cell>
          <cell r="R32">
            <v>-35288.730000000003</v>
          </cell>
          <cell r="S32">
            <v>-11292.99</v>
          </cell>
          <cell r="T32">
            <v>-27956.58</v>
          </cell>
          <cell r="U32">
            <v>-27248.080000000002</v>
          </cell>
          <cell r="V32">
            <v>-4982.0600000000004</v>
          </cell>
          <cell r="W32">
            <v>-5315.16</v>
          </cell>
          <cell r="X32">
            <v>-1721.25</v>
          </cell>
          <cell r="Y32">
            <v>-150</v>
          </cell>
          <cell r="Z32">
            <v>-13828.77</v>
          </cell>
          <cell r="AA32">
            <v>-3567.17</v>
          </cell>
          <cell r="AB32">
            <v>-3663.21</v>
          </cell>
          <cell r="AC32">
            <v>-1490.67</v>
          </cell>
          <cell r="AD32">
            <v>-17112.330000000002</v>
          </cell>
          <cell r="AE32">
            <v>-28371.25</v>
          </cell>
          <cell r="AF32">
            <v>-10459.879999999999</v>
          </cell>
          <cell r="AG32">
            <v>-8331.75</v>
          </cell>
          <cell r="AH32">
            <v>-1324.29</v>
          </cell>
          <cell r="AI32">
            <v>-3832.29</v>
          </cell>
          <cell r="AJ32">
            <v>-7023.53</v>
          </cell>
          <cell r="AK32">
            <v>-14996.98</v>
          </cell>
          <cell r="AL32">
            <v>-8728.73</v>
          </cell>
          <cell r="AM32">
            <v>-4498.34</v>
          </cell>
          <cell r="AN32">
            <v>-14942.15</v>
          </cell>
          <cell r="AO32">
            <v>-5963.33</v>
          </cell>
          <cell r="AP32">
            <v>-18833.71</v>
          </cell>
          <cell r="AQ32">
            <v>-7716.83</v>
          </cell>
          <cell r="AR32">
            <v>-8180.13</v>
          </cell>
          <cell r="AS32">
            <v>-598.87</v>
          </cell>
          <cell r="AT32">
            <v>-100</v>
          </cell>
          <cell r="AU32">
            <v>-1008.38</v>
          </cell>
          <cell r="AV32">
            <v>-14572.69</v>
          </cell>
          <cell r="AW32">
            <v>-7555.14</v>
          </cell>
          <cell r="AX32">
            <v>-350</v>
          </cell>
          <cell r="AY32">
            <v>-1371.96</v>
          </cell>
          <cell r="AZ32">
            <v>0</v>
          </cell>
          <cell r="BA32">
            <v>0</v>
          </cell>
          <cell r="BB32">
            <v>-23774.11</v>
          </cell>
          <cell r="BC32">
            <v>-11726.02</v>
          </cell>
          <cell r="BD32">
            <v>-11753.33</v>
          </cell>
          <cell r="BE32">
            <v>-1549.55</v>
          </cell>
          <cell r="BF32">
            <v>-968.3</v>
          </cell>
          <cell r="BG32">
            <v>-600</v>
          </cell>
          <cell r="BH32">
            <v>-5538.9</v>
          </cell>
          <cell r="BI32">
            <v>-1789.64</v>
          </cell>
          <cell r="BJ32">
            <v>-1478.18</v>
          </cell>
          <cell r="BK32">
            <v>-1352.58</v>
          </cell>
          <cell r="BL32">
            <v>-460</v>
          </cell>
          <cell r="BM32">
            <v>-12426.09</v>
          </cell>
          <cell r="BN32">
            <v>-50373.03</v>
          </cell>
          <cell r="BO32">
            <v>-25402.09</v>
          </cell>
          <cell r="BP32">
            <v>-3065.88</v>
          </cell>
          <cell r="BQ32">
            <v>-3195.88</v>
          </cell>
          <cell r="BR32">
            <v>-2562.56</v>
          </cell>
          <cell r="BS32">
            <v>-3063.36</v>
          </cell>
          <cell r="BT32">
            <v>-6748.27</v>
          </cell>
          <cell r="BU32">
            <v>-5624.05</v>
          </cell>
          <cell r="BV32">
            <v>-1446.63</v>
          </cell>
          <cell r="BW32">
            <v>-612.39</v>
          </cell>
          <cell r="BX32">
            <v>-407.39</v>
          </cell>
          <cell r="BY32">
            <v>-5934.37</v>
          </cell>
          <cell r="BZ32">
            <v>-133267.64000000001</v>
          </cell>
          <cell r="CA32">
            <v>-9887.8799999999992</v>
          </cell>
          <cell r="CB32">
            <v>-7649.72</v>
          </cell>
          <cell r="CC32">
            <v>-7474.4</v>
          </cell>
          <cell r="CD32">
            <v>-7431.1</v>
          </cell>
          <cell r="CE32">
            <v>-4934.46</v>
          </cell>
          <cell r="CF32">
            <v>-4718.4399999999996</v>
          </cell>
          <cell r="CG32">
            <v>-2800.24</v>
          </cell>
          <cell r="CH32">
            <v>-362.39</v>
          </cell>
          <cell r="CI32">
            <v>-412.39</v>
          </cell>
          <cell r="CJ32">
            <v>-2630.73</v>
          </cell>
          <cell r="CK32">
            <v>-2460.25</v>
          </cell>
          <cell r="CL32">
            <v>-4205.13</v>
          </cell>
          <cell r="CM32">
            <v>-8637.61</v>
          </cell>
          <cell r="CN32">
            <v>-2095.3200000000002</v>
          </cell>
          <cell r="CO32">
            <v>-6089.56</v>
          </cell>
          <cell r="CP32">
            <v>-730.69</v>
          </cell>
          <cell r="CQ32">
            <v>-3941.39</v>
          </cell>
          <cell r="CR32">
            <v>-3331.67</v>
          </cell>
          <cell r="CS32">
            <v>-1902.4</v>
          </cell>
          <cell r="CT32">
            <v>-2583.36</v>
          </cell>
          <cell r="CU32">
            <v>-2574.37</v>
          </cell>
          <cell r="CV32">
            <v>-9339.5</v>
          </cell>
          <cell r="CW32">
            <v>-10419.77</v>
          </cell>
          <cell r="CX32">
            <v>-6533.99</v>
          </cell>
          <cell r="CY32">
            <v>-3662.7</v>
          </cell>
          <cell r="CZ32">
            <v>-37054.050000000003</v>
          </cell>
          <cell r="DA32">
            <v>-3799.88</v>
          </cell>
          <cell r="DB32">
            <v>-6366.19</v>
          </cell>
          <cell r="DC32">
            <v>-7786.77</v>
          </cell>
          <cell r="DD32">
            <v>-3856.52</v>
          </cell>
          <cell r="DE32">
            <v>-61297.52</v>
          </cell>
          <cell r="DF32">
            <v>-3541.83</v>
          </cell>
          <cell r="DG32">
            <v>-5145.8900000000003</v>
          </cell>
          <cell r="DH32">
            <v>-7783.15</v>
          </cell>
        </row>
        <row r="33">
          <cell r="A33" t="str">
            <v>1310210</v>
          </cell>
          <cell r="B33" t="str">
            <v>1310210</v>
          </cell>
          <cell r="C33" t="str">
            <v>JPM 3436 Deposits</v>
          </cell>
          <cell r="D33">
            <v>331516.73</v>
          </cell>
          <cell r="E33">
            <v>359162.04</v>
          </cell>
          <cell r="F33">
            <v>423137.69</v>
          </cell>
          <cell r="G33">
            <v>773711.35</v>
          </cell>
          <cell r="H33">
            <v>309413.56</v>
          </cell>
          <cell r="I33">
            <v>325689.78000000003</v>
          </cell>
          <cell r="J33">
            <v>544866.37</v>
          </cell>
          <cell r="K33">
            <v>259699.26</v>
          </cell>
          <cell r="L33">
            <v>301394.03000000003</v>
          </cell>
          <cell r="M33">
            <v>360264.69</v>
          </cell>
          <cell r="N33">
            <v>433255.08</v>
          </cell>
          <cell r="O33">
            <v>-130796.44</v>
          </cell>
          <cell r="P33">
            <v>519844.98</v>
          </cell>
          <cell r="Q33">
            <v>560518.25</v>
          </cell>
          <cell r="R33">
            <v>499837.21</v>
          </cell>
          <cell r="S33">
            <v>675487.96</v>
          </cell>
          <cell r="T33">
            <v>428689.11</v>
          </cell>
          <cell r="U33">
            <v>329444.87</v>
          </cell>
          <cell r="V33">
            <v>741175.49</v>
          </cell>
          <cell r="W33">
            <v>368123.21</v>
          </cell>
          <cell r="X33">
            <v>696842.45</v>
          </cell>
          <cell r="Y33">
            <v>410674.09</v>
          </cell>
          <cell r="Z33">
            <v>341710.23</v>
          </cell>
          <cell r="AA33">
            <v>537902.91</v>
          </cell>
          <cell r="AB33">
            <v>417095.05</v>
          </cell>
          <cell r="AC33">
            <v>402000.85</v>
          </cell>
          <cell r="AD33">
            <v>1188155.99</v>
          </cell>
          <cell r="AE33">
            <v>362769.37</v>
          </cell>
          <cell r="AF33">
            <v>434510.4</v>
          </cell>
          <cell r="AG33">
            <v>925107.95</v>
          </cell>
          <cell r="AH33">
            <v>297086.21000000002</v>
          </cell>
          <cell r="AI33">
            <v>346666.34</v>
          </cell>
          <cell r="AJ33">
            <v>306152.3</v>
          </cell>
          <cell r="AK33">
            <v>361351.54</v>
          </cell>
          <cell r="AL33">
            <v>588213.24</v>
          </cell>
          <cell r="AM33">
            <v>356927.72</v>
          </cell>
          <cell r="AN33">
            <v>329481.73</v>
          </cell>
          <cell r="AO33">
            <v>-11322</v>
          </cell>
          <cell r="AP33">
            <v>0</v>
          </cell>
          <cell r="AQ33">
            <v>0</v>
          </cell>
          <cell r="AR33">
            <v>0</v>
          </cell>
          <cell r="AS33">
            <v>0</v>
          </cell>
          <cell r="AT33">
            <v>0</v>
          </cell>
          <cell r="AU33">
            <v>0</v>
          </cell>
          <cell r="AV33">
            <v>0</v>
          </cell>
          <cell r="AW33">
            <v>411238.87</v>
          </cell>
          <cell r="AX33">
            <v>309290.62</v>
          </cell>
          <cell r="AY33">
            <v>310760</v>
          </cell>
          <cell r="AZ33">
            <v>471487.29</v>
          </cell>
          <cell r="BA33">
            <v>318668.86</v>
          </cell>
          <cell r="BB33">
            <v>323691.55</v>
          </cell>
          <cell r="BC33">
            <v>343377.04</v>
          </cell>
          <cell r="BD33">
            <v>308499.93</v>
          </cell>
          <cell r="BE33">
            <v>599300.32999999996</v>
          </cell>
          <cell r="BF33">
            <v>320219.67</v>
          </cell>
          <cell r="BG33">
            <v>300732.37</v>
          </cell>
          <cell r="BH33">
            <v>331434.61</v>
          </cell>
          <cell r="BI33">
            <v>292031.21999999997</v>
          </cell>
          <cell r="BJ33">
            <v>313236.09000000003</v>
          </cell>
          <cell r="BK33">
            <v>316105.76</v>
          </cell>
          <cell r="BL33">
            <v>337051.8</v>
          </cell>
          <cell r="BM33">
            <v>330015.09000000003</v>
          </cell>
          <cell r="BN33">
            <v>320490.51</v>
          </cell>
          <cell r="BO33">
            <v>298183.77</v>
          </cell>
          <cell r="BP33">
            <v>302068.11</v>
          </cell>
          <cell r="BQ33">
            <v>304740.34000000003</v>
          </cell>
          <cell r="BR33">
            <v>305652.53000000003</v>
          </cell>
          <cell r="BS33">
            <v>292641.87</v>
          </cell>
          <cell r="BT33">
            <v>304532.93</v>
          </cell>
          <cell r="BU33">
            <v>331380.88</v>
          </cell>
          <cell r="BV33">
            <v>306659.65000000002</v>
          </cell>
          <cell r="BW33">
            <v>353765.99</v>
          </cell>
          <cell r="BX33">
            <v>297929.49</v>
          </cell>
          <cell r="BY33">
            <v>334104.07</v>
          </cell>
          <cell r="BZ33">
            <v>302487.90999999997</v>
          </cell>
          <cell r="CA33">
            <v>280574.49</v>
          </cell>
          <cell r="CB33">
            <v>304854.78000000003</v>
          </cell>
          <cell r="CC33">
            <v>303331.44</v>
          </cell>
          <cell r="CD33">
            <v>289934.71000000002</v>
          </cell>
          <cell r="CE33">
            <v>299163.99</v>
          </cell>
          <cell r="CF33">
            <v>288106.71999999997</v>
          </cell>
          <cell r="CG33">
            <v>282336.65000000002</v>
          </cell>
          <cell r="CH33">
            <v>241442.18</v>
          </cell>
          <cell r="CI33">
            <v>286211.15000000002</v>
          </cell>
          <cell r="CJ33">
            <v>246961.59</v>
          </cell>
          <cell r="CK33">
            <v>230630.47</v>
          </cell>
          <cell r="CL33">
            <v>250057.51</v>
          </cell>
          <cell r="CM33">
            <v>182155.12</v>
          </cell>
          <cell r="CN33">
            <v>100255.54</v>
          </cell>
          <cell r="CO33">
            <v>50047.85</v>
          </cell>
          <cell r="CP33">
            <v>10569.87</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row>
        <row r="34">
          <cell r="A34" t="str">
            <v>1310220</v>
          </cell>
          <cell r="B34" t="str">
            <v>1310220</v>
          </cell>
          <cell r="C34" t="str">
            <v>JPM 0180 CDA</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row>
        <row r="35">
          <cell r="A35" t="str">
            <v>1310222</v>
          </cell>
          <cell r="B35" t="str">
            <v>1310222</v>
          </cell>
          <cell r="C35" t="str">
            <v>JPM 0180 ACH In</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row>
        <row r="36">
          <cell r="A36" t="str">
            <v>1310225</v>
          </cell>
          <cell r="B36" t="str">
            <v>1310225</v>
          </cell>
          <cell r="C36" t="str">
            <v>JPM 0180 Check Out</v>
          </cell>
          <cell r="D36">
            <v>-2370541.0699999998</v>
          </cell>
          <cell r="E36">
            <v>-2044057.99</v>
          </cell>
          <cell r="F36">
            <v>-2674540.5699999998</v>
          </cell>
          <cell r="G36">
            <v>-3052885.51</v>
          </cell>
          <cell r="H36">
            <v>-1813071.55</v>
          </cell>
          <cell r="I36">
            <v>-3951649.9</v>
          </cell>
          <cell r="J36">
            <v>-1563913.01</v>
          </cell>
          <cell r="K36">
            <v>-4752099.24</v>
          </cell>
          <cell r="L36">
            <v>-4384239.3600000003</v>
          </cell>
          <cell r="M36">
            <v>-1538841.52</v>
          </cell>
          <cell r="N36">
            <v>-3367764.12</v>
          </cell>
          <cell r="O36">
            <v>-9623367.5700000003</v>
          </cell>
          <cell r="P36">
            <v>-4131703.24</v>
          </cell>
          <cell r="Q36">
            <v>-3347661.83</v>
          </cell>
          <cell r="R36">
            <v>-2828654.47</v>
          </cell>
          <cell r="S36">
            <v>-2779070.5</v>
          </cell>
          <cell r="T36">
            <v>-2554148.63</v>
          </cell>
          <cell r="U36">
            <v>-2724584.12</v>
          </cell>
          <cell r="V36">
            <v>-2383334.81</v>
          </cell>
          <cell r="W36">
            <v>-3574636.32</v>
          </cell>
          <cell r="X36">
            <v>-1956018.17</v>
          </cell>
          <cell r="Y36">
            <v>-1909404.19</v>
          </cell>
          <cell r="Z36">
            <v>-3762827.1</v>
          </cell>
          <cell r="AA36">
            <v>-11587292.57</v>
          </cell>
          <cell r="AB36">
            <v>-5199026.66</v>
          </cell>
          <cell r="AC36">
            <v>-3463796.64</v>
          </cell>
          <cell r="AD36">
            <v>-2184041.4900000002</v>
          </cell>
          <cell r="AE36">
            <v>-2697977.18</v>
          </cell>
          <cell r="AF36">
            <v>-3421366.7</v>
          </cell>
          <cell r="AG36">
            <v>-2811076.32</v>
          </cell>
          <cell r="AH36">
            <v>-4782727.0999999996</v>
          </cell>
          <cell r="AI36">
            <v>-5113250.17</v>
          </cell>
          <cell r="AJ36">
            <v>-2554941.6</v>
          </cell>
          <cell r="AK36">
            <v>-3040279</v>
          </cell>
          <cell r="AL36">
            <v>-2743304.77</v>
          </cell>
          <cell r="AM36">
            <v>-11928813.5</v>
          </cell>
          <cell r="AN36">
            <v>-4724928.26</v>
          </cell>
          <cell r="AO36">
            <v>-3405068.69</v>
          </cell>
          <cell r="AP36">
            <v>-4361477.6500000004</v>
          </cell>
          <cell r="AQ36">
            <v>-3022413.99</v>
          </cell>
          <cell r="AR36">
            <v>-4115127.65</v>
          </cell>
          <cell r="AS36">
            <v>-1929115.33</v>
          </cell>
          <cell r="AT36">
            <v>-2878917.53</v>
          </cell>
          <cell r="AU36">
            <v>-3908483.49</v>
          </cell>
          <cell r="AV36">
            <v>-4192152.78</v>
          </cell>
          <cell r="AW36">
            <v>-3241713.72</v>
          </cell>
          <cell r="AX36">
            <v>-3135936.63</v>
          </cell>
          <cell r="AY36">
            <v>-11486450.210000001</v>
          </cell>
          <cell r="AZ36">
            <v>-3789351.71</v>
          </cell>
          <cell r="BA36">
            <v>-4217556.17</v>
          </cell>
          <cell r="BB36">
            <v>-5339645.58</v>
          </cell>
          <cell r="BC36">
            <v>-3315187.89</v>
          </cell>
          <cell r="BD36">
            <v>-4664021.45</v>
          </cell>
          <cell r="BE36">
            <v>-2902368.64</v>
          </cell>
          <cell r="BF36">
            <v>-2873925.17</v>
          </cell>
          <cell r="BG36">
            <v>-3857807.3599999999</v>
          </cell>
          <cell r="BH36">
            <v>-4843347.79</v>
          </cell>
          <cell r="BI36">
            <v>-4575029.45</v>
          </cell>
          <cell r="BJ36">
            <v>-4711247.55</v>
          </cell>
          <cell r="BK36">
            <v>-16069622.77</v>
          </cell>
          <cell r="BL36">
            <v>-2779740.87</v>
          </cell>
          <cell r="BM36">
            <v>-5528011.9299999997</v>
          </cell>
          <cell r="BN36">
            <v>-3617192.48</v>
          </cell>
          <cell r="BO36">
            <v>-6810435.7699999996</v>
          </cell>
          <cell r="BP36">
            <v>-4379667.3099999996</v>
          </cell>
          <cell r="BQ36">
            <v>-6145212.8700000001</v>
          </cell>
          <cell r="BR36">
            <v>-5321949.3</v>
          </cell>
          <cell r="BS36">
            <v>-4752946.21</v>
          </cell>
          <cell r="BT36">
            <v>-7470187.6100000003</v>
          </cell>
          <cell r="BU36">
            <v>-3986960.41</v>
          </cell>
          <cell r="BV36">
            <v>-5637158.0199999996</v>
          </cell>
          <cell r="BW36">
            <v>-15457815.689999999</v>
          </cell>
          <cell r="BX36">
            <v>-5558714.2300000004</v>
          </cell>
          <cell r="BY36">
            <v>-8815252.5700000003</v>
          </cell>
          <cell r="BZ36">
            <v>-11664648.67</v>
          </cell>
          <cell r="CA36">
            <v>-5098236.76</v>
          </cell>
          <cell r="CB36">
            <v>-12022634.84</v>
          </cell>
          <cell r="CC36">
            <v>-12235991.26</v>
          </cell>
          <cell r="CD36">
            <v>-6255599.9100000001</v>
          </cell>
          <cell r="CE36">
            <v>-6597190.1600000001</v>
          </cell>
          <cell r="CF36">
            <v>-7959815.0899999999</v>
          </cell>
          <cell r="CG36">
            <v>-8952373.5399999991</v>
          </cell>
          <cell r="CH36">
            <v>-13272435.5</v>
          </cell>
          <cell r="CI36">
            <v>-18610627.030000001</v>
          </cell>
          <cell r="CJ36">
            <v>-6483106.7699999996</v>
          </cell>
          <cell r="CK36">
            <v>-10064488.9</v>
          </cell>
          <cell r="CL36">
            <v>-8998838.2300000004</v>
          </cell>
          <cell r="CM36">
            <v>-10144623.07</v>
          </cell>
          <cell r="CN36">
            <v>-6984037.4900000002</v>
          </cell>
          <cell r="CO36">
            <v>-5003484.3499999996</v>
          </cell>
          <cell r="CP36">
            <v>-5664906.1200000001</v>
          </cell>
          <cell r="CQ36">
            <v>-5947057.4199999999</v>
          </cell>
          <cell r="CR36">
            <v>-6030549.9000000004</v>
          </cell>
          <cell r="CS36">
            <v>-6149570.7599999998</v>
          </cell>
          <cell r="CT36">
            <v>-5255895.1100000003</v>
          </cell>
          <cell r="CU36">
            <v>-17982022.609999999</v>
          </cell>
          <cell r="CV36">
            <v>-3781353.35</v>
          </cell>
          <cell r="CW36">
            <v>-8618060.7300000004</v>
          </cell>
          <cell r="CX36">
            <v>-6327461.8099999996</v>
          </cell>
          <cell r="CY36">
            <v>-5715669.2800000003</v>
          </cell>
          <cell r="CZ36">
            <v>-5293155.76</v>
          </cell>
          <cell r="DA36">
            <v>-6298991.7599999998</v>
          </cell>
          <cell r="DB36">
            <v>-6395872.4299999997</v>
          </cell>
          <cell r="DC36">
            <v>-6712417.1500000004</v>
          </cell>
          <cell r="DD36">
            <v>-3507049.93</v>
          </cell>
          <cell r="DE36">
            <v>-5892705.8799999999</v>
          </cell>
          <cell r="DF36">
            <v>-3703582.65</v>
          </cell>
          <cell r="DG36">
            <v>-19843052.420000002</v>
          </cell>
          <cell r="DH36">
            <v>-4958663.5599999996</v>
          </cell>
        </row>
        <row r="37">
          <cell r="A37" t="str">
            <v>1310227</v>
          </cell>
          <cell r="B37" t="str">
            <v>1310227</v>
          </cell>
          <cell r="C37" t="str">
            <v>JPM 0180 ZBA</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row>
        <row r="38">
          <cell r="A38" t="str">
            <v>1310230</v>
          </cell>
          <cell r="B38" t="str">
            <v>1310230</v>
          </cell>
          <cell r="C38" t="str">
            <v>JPM 3460 Conservatin</v>
          </cell>
          <cell r="D38">
            <v>-322038.68</v>
          </cell>
          <cell r="E38">
            <v>-455865.56</v>
          </cell>
          <cell r="F38">
            <v>-403675.91</v>
          </cell>
          <cell r="G38">
            <v>-294865.08</v>
          </cell>
          <cell r="H38">
            <v>-327946.67</v>
          </cell>
          <cell r="I38">
            <v>-409966.66</v>
          </cell>
          <cell r="J38">
            <v>-325633.15000000002</v>
          </cell>
          <cell r="K38">
            <v>-476118.4</v>
          </cell>
          <cell r="L38">
            <v>-392171.98</v>
          </cell>
          <cell r="M38">
            <v>-437777.5</v>
          </cell>
          <cell r="N38">
            <v>-362181.07</v>
          </cell>
          <cell r="O38">
            <v>-276568.8</v>
          </cell>
          <cell r="P38">
            <v>-247085.77</v>
          </cell>
          <cell r="Q38">
            <v>-532304.59</v>
          </cell>
          <cell r="R38">
            <v>-402145.3</v>
          </cell>
          <cell r="S38">
            <v>-343452.95</v>
          </cell>
          <cell r="T38">
            <v>-357601.66</v>
          </cell>
          <cell r="U38">
            <v>-374770.26</v>
          </cell>
          <cell r="V38">
            <v>-342617.15</v>
          </cell>
          <cell r="W38">
            <v>-460744.51</v>
          </cell>
          <cell r="X38">
            <v>-317950.59000000003</v>
          </cell>
          <cell r="Y38">
            <v>-383937.26</v>
          </cell>
          <cell r="Z38">
            <v>-523546.67</v>
          </cell>
          <cell r="AA38">
            <v>-332156.76</v>
          </cell>
          <cell r="AB38">
            <v>-316509.26</v>
          </cell>
          <cell r="AC38">
            <v>-349245.15</v>
          </cell>
          <cell r="AD38">
            <v>-432412.31</v>
          </cell>
          <cell r="AE38">
            <v>-494138.25</v>
          </cell>
          <cell r="AF38">
            <v>-545407.54</v>
          </cell>
          <cell r="AG38">
            <v>-341872.69</v>
          </cell>
          <cell r="AH38">
            <v>-418234.89</v>
          </cell>
          <cell r="AI38">
            <v>-476125</v>
          </cell>
          <cell r="AJ38">
            <v>-430403</v>
          </cell>
          <cell r="AK38">
            <v>-462621</v>
          </cell>
          <cell r="AL38">
            <v>-540400</v>
          </cell>
          <cell r="AM38">
            <v>-437805</v>
          </cell>
          <cell r="AN38">
            <v>-784228.43</v>
          </cell>
          <cell r="AO38">
            <v>-118500</v>
          </cell>
          <cell r="AP38">
            <v>-107050</v>
          </cell>
          <cell r="AQ38">
            <v>-96300</v>
          </cell>
          <cell r="AR38">
            <v>-94700</v>
          </cell>
          <cell r="AS38">
            <v>-93000</v>
          </cell>
          <cell r="AT38">
            <v>-89600</v>
          </cell>
          <cell r="AU38">
            <v>-87850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row>
        <row r="39">
          <cell r="A39" t="str">
            <v>1310240</v>
          </cell>
          <cell r="B39" t="str">
            <v>1310240</v>
          </cell>
          <cell r="C39" t="str">
            <v>JPM 3452 TEC-R Concn</v>
          </cell>
          <cell r="D39">
            <v>504520.2</v>
          </cell>
          <cell r="E39">
            <v>553582.18000000005</v>
          </cell>
          <cell r="F39">
            <v>564847.35</v>
          </cell>
          <cell r="G39">
            <v>1951793.59</v>
          </cell>
          <cell r="H39">
            <v>515886.66</v>
          </cell>
          <cell r="I39">
            <v>7611670.46</v>
          </cell>
          <cell r="J39">
            <v>4997939.5199999996</v>
          </cell>
          <cell r="K39">
            <v>478861.22</v>
          </cell>
          <cell r="L39">
            <v>599142.36</v>
          </cell>
          <cell r="M39">
            <v>507131.77</v>
          </cell>
          <cell r="N39">
            <v>514773.31</v>
          </cell>
          <cell r="O39">
            <v>587544.47</v>
          </cell>
          <cell r="P39">
            <v>447096.37</v>
          </cell>
          <cell r="Q39">
            <v>338984.74</v>
          </cell>
          <cell r="R39">
            <v>249254.28</v>
          </cell>
          <cell r="S39">
            <v>3540006.9</v>
          </cell>
          <cell r="T39">
            <v>240227.84</v>
          </cell>
          <cell r="U39">
            <v>6139924.0499999998</v>
          </cell>
          <cell r="V39">
            <v>408616.18</v>
          </cell>
          <cell r="W39">
            <v>571609.93999999994</v>
          </cell>
          <cell r="X39">
            <v>553867.56999999995</v>
          </cell>
          <cell r="Y39">
            <v>771043.21</v>
          </cell>
          <cell r="Z39">
            <v>15540894.460000001</v>
          </cell>
          <cell r="AA39">
            <v>353534.41</v>
          </cell>
          <cell r="AB39">
            <v>1038483.82</v>
          </cell>
          <cell r="AC39">
            <v>1920970.31</v>
          </cell>
          <cell r="AD39">
            <v>815180.99</v>
          </cell>
          <cell r="AE39">
            <v>708480.02</v>
          </cell>
          <cell r="AF39">
            <v>213536.73</v>
          </cell>
          <cell r="AG39">
            <v>662781.6</v>
          </cell>
          <cell r="AH39">
            <v>250458.45</v>
          </cell>
          <cell r="AI39">
            <v>356261.25</v>
          </cell>
          <cell r="AJ39">
            <v>678540.4</v>
          </cell>
          <cell r="AK39">
            <v>382178.71</v>
          </cell>
          <cell r="AL39">
            <v>1455836.03</v>
          </cell>
          <cell r="AM39">
            <v>369276.74</v>
          </cell>
          <cell r="AN39">
            <v>573045.17000000004</v>
          </cell>
          <cell r="AO39">
            <v>443761.23</v>
          </cell>
          <cell r="AP39">
            <v>522167.86</v>
          </cell>
          <cell r="AQ39">
            <v>634944.36</v>
          </cell>
          <cell r="AR39">
            <v>556017.22</v>
          </cell>
          <cell r="AS39">
            <v>554884.29</v>
          </cell>
          <cell r="AT39">
            <v>547441.44999999995</v>
          </cell>
          <cell r="AU39">
            <v>512643.88</v>
          </cell>
          <cell r="AV39">
            <v>496777.64</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row>
        <row r="40">
          <cell r="A40" t="str">
            <v>1310241</v>
          </cell>
          <cell r="B40" t="str">
            <v>1310241</v>
          </cell>
          <cell r="C40" t="str">
            <v>JPM 3452 ACH Out</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row>
        <row r="41">
          <cell r="A41" t="str">
            <v>1310242</v>
          </cell>
          <cell r="B41" t="str">
            <v>1310242</v>
          </cell>
          <cell r="C41" t="str">
            <v>JPM 3452 ACH In</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row>
        <row r="42">
          <cell r="A42" t="str">
            <v>1310243</v>
          </cell>
          <cell r="B42" t="str">
            <v>1310243</v>
          </cell>
          <cell r="C42" t="str">
            <v>JPM 3452 Wire Out</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row>
        <row r="43">
          <cell r="A43" t="str">
            <v>1310244</v>
          </cell>
          <cell r="B43" t="str">
            <v>1310244</v>
          </cell>
          <cell r="C43" t="str">
            <v>JPM 3452 Wire 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row>
        <row r="44">
          <cell r="A44" t="str">
            <v>1310247</v>
          </cell>
          <cell r="B44" t="str">
            <v>1310247</v>
          </cell>
          <cell r="C44" t="str">
            <v>JPM 3452 ZBA</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row>
        <row r="45">
          <cell r="A45" t="str">
            <v>1310250</v>
          </cell>
          <cell r="B45" t="str">
            <v>1310250</v>
          </cell>
          <cell r="C45" t="str">
            <v>SUN 2376 Meter Dep</v>
          </cell>
          <cell r="D45">
            <v>-356803.24</v>
          </cell>
          <cell r="E45">
            <v>-417463.6</v>
          </cell>
          <cell r="F45">
            <v>-380435.3</v>
          </cell>
          <cell r="G45">
            <v>-460815.83</v>
          </cell>
          <cell r="H45">
            <v>-349953.66</v>
          </cell>
          <cell r="I45">
            <v>-326217.86</v>
          </cell>
          <cell r="J45">
            <v>-369621.2</v>
          </cell>
          <cell r="K45">
            <v>-372966.15</v>
          </cell>
          <cell r="L45">
            <v>-402892.79999999999</v>
          </cell>
          <cell r="M45">
            <v>-340277.47</v>
          </cell>
          <cell r="N45">
            <v>-418507.59</v>
          </cell>
          <cell r="O45">
            <v>-542687.42000000004</v>
          </cell>
          <cell r="P45">
            <v>-276683</v>
          </cell>
          <cell r="Q45">
            <v>-460783.61</v>
          </cell>
          <cell r="R45">
            <v>-393263.08</v>
          </cell>
          <cell r="S45">
            <v>-409361.95</v>
          </cell>
          <cell r="T45">
            <v>-447910.36</v>
          </cell>
          <cell r="U45">
            <v>-432316.01</v>
          </cell>
          <cell r="V45">
            <v>-390083.87</v>
          </cell>
          <cell r="W45">
            <v>-400888.99</v>
          </cell>
          <cell r="X45">
            <v>-383254.5</v>
          </cell>
          <cell r="Y45">
            <v>-372637.4</v>
          </cell>
          <cell r="Z45">
            <v>-382827.51</v>
          </cell>
          <cell r="AA45">
            <v>-396305.4</v>
          </cell>
          <cell r="AB45">
            <v>-334906.07</v>
          </cell>
          <cell r="AC45">
            <v>-397485.49</v>
          </cell>
          <cell r="AD45">
            <v>-713422.99</v>
          </cell>
          <cell r="AE45">
            <v>-375115.14</v>
          </cell>
          <cell r="AF45">
            <v>-468384.95</v>
          </cell>
          <cell r="AG45">
            <v>-453761.13</v>
          </cell>
          <cell r="AH45">
            <v>-457769.58</v>
          </cell>
          <cell r="AI45">
            <v>-652898.51</v>
          </cell>
          <cell r="AJ45">
            <v>-485868.28</v>
          </cell>
          <cell r="AK45">
            <v>-607450.02</v>
          </cell>
          <cell r="AL45">
            <v>-471575.98</v>
          </cell>
          <cell r="AM45">
            <v>-432099.42</v>
          </cell>
          <cell r="AN45">
            <v>-721228.27</v>
          </cell>
          <cell r="AO45">
            <v>-281703.28999999998</v>
          </cell>
          <cell r="AP45">
            <v>-209866.08</v>
          </cell>
          <cell r="AQ45">
            <v>-143926.03</v>
          </cell>
          <cell r="AR45">
            <v>-106715.1</v>
          </cell>
          <cell r="AS45">
            <v>-79006.38</v>
          </cell>
          <cell r="AT45">
            <v>-41469.46</v>
          </cell>
          <cell r="AU45">
            <v>-19663.14</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row>
        <row r="46">
          <cell r="A46" t="str">
            <v>1310260</v>
          </cell>
          <cell r="B46" t="str">
            <v>1310260</v>
          </cell>
          <cell r="C46" t="str">
            <v>SUN 4743 TEC-R Dep</v>
          </cell>
          <cell r="D46">
            <v>1253758.56</v>
          </cell>
          <cell r="E46">
            <v>1208633.3899999999</v>
          </cell>
          <cell r="F46">
            <v>1370390.39</v>
          </cell>
          <cell r="G46">
            <v>1298478.0900000001</v>
          </cell>
          <cell r="H46">
            <v>977517.92</v>
          </cell>
          <cell r="I46">
            <v>1315182.0800000001</v>
          </cell>
          <cell r="J46">
            <v>1062625</v>
          </cell>
          <cell r="K46">
            <v>1175544.54</v>
          </cell>
          <cell r="L46">
            <v>900315.79</v>
          </cell>
          <cell r="M46">
            <v>919544.19</v>
          </cell>
          <cell r="N46">
            <v>796260.2</v>
          </cell>
          <cell r="O46">
            <v>312750.59000000003</v>
          </cell>
          <cell r="P46">
            <v>1595655.14</v>
          </cell>
          <cell r="Q46">
            <v>1096771.6000000001</v>
          </cell>
          <cell r="R46">
            <v>1314102.25</v>
          </cell>
          <cell r="S46">
            <v>1741844.72</v>
          </cell>
          <cell r="T46">
            <v>1017457.64</v>
          </cell>
          <cell r="U46">
            <v>927737.13</v>
          </cell>
          <cell r="V46">
            <v>1351838.23</v>
          </cell>
          <cell r="W46">
            <v>870913.26</v>
          </cell>
          <cell r="X46">
            <v>858623.45</v>
          </cell>
          <cell r="Y46">
            <v>1070461.26</v>
          </cell>
          <cell r="Z46">
            <v>794315.85</v>
          </cell>
          <cell r="AA46">
            <v>1261527.5900000001</v>
          </cell>
          <cell r="AB46">
            <v>1211935.99</v>
          </cell>
          <cell r="AC46">
            <v>1152146.48</v>
          </cell>
          <cell r="AD46">
            <v>1175384.51</v>
          </cell>
          <cell r="AE46">
            <v>1049060.23</v>
          </cell>
          <cell r="AF46">
            <v>953963.55</v>
          </cell>
          <cell r="AG46">
            <v>836624.24</v>
          </cell>
          <cell r="AH46">
            <v>920757.31</v>
          </cell>
          <cell r="AI46">
            <v>1167407.1399999999</v>
          </cell>
          <cell r="AJ46">
            <v>910043.2</v>
          </cell>
          <cell r="AK46">
            <v>749417.82</v>
          </cell>
          <cell r="AL46">
            <v>860510.84</v>
          </cell>
          <cell r="AM46">
            <v>1661382.56</v>
          </cell>
          <cell r="AN46">
            <v>1462190.73</v>
          </cell>
          <cell r="AO46">
            <v>293542.01</v>
          </cell>
          <cell r="AP46">
            <v>301609.02</v>
          </cell>
          <cell r="AQ46">
            <v>301261.84000000003</v>
          </cell>
          <cell r="AR46">
            <v>299824.65999999997</v>
          </cell>
          <cell r="AS46">
            <v>298770.2</v>
          </cell>
          <cell r="AT46">
            <v>298746.92</v>
          </cell>
          <cell r="AU46">
            <v>298617.02</v>
          </cell>
          <cell r="AV46">
            <v>298617.02</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row>
        <row r="47">
          <cell r="A47" t="str">
            <v>1310630</v>
          </cell>
          <cell r="B47" t="str">
            <v>1310630</v>
          </cell>
          <cell r="C47" t="str">
            <v>Seacoast Natl Bank</v>
          </cell>
          <cell r="D47">
            <v>170751</v>
          </cell>
          <cell r="E47">
            <v>170761.15</v>
          </cell>
          <cell r="F47">
            <v>170771.31</v>
          </cell>
          <cell r="G47">
            <v>170779.59</v>
          </cell>
          <cell r="H47">
            <v>170788.29</v>
          </cell>
          <cell r="I47">
            <v>170796.71</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row>
        <row r="48">
          <cell r="A48" t="str">
            <v>1310690</v>
          </cell>
          <cell r="B48" t="str">
            <v>1310690</v>
          </cell>
          <cell r="C48" t="str">
            <v>SUN 2103 Misc Dep</v>
          </cell>
          <cell r="AL48">
            <v>0</v>
          </cell>
          <cell r="AM48">
            <v>0</v>
          </cell>
          <cell r="AN48">
            <v>43.24</v>
          </cell>
          <cell r="AO48">
            <v>150621.59</v>
          </cell>
          <cell r="AP48">
            <v>122740.56</v>
          </cell>
          <cell r="AQ48">
            <v>172100.26</v>
          </cell>
          <cell r="AR48">
            <v>100000</v>
          </cell>
          <cell r="AS48">
            <v>154945.56</v>
          </cell>
          <cell r="AT48">
            <v>113341.6</v>
          </cell>
          <cell r="AU48">
            <v>107607.95</v>
          </cell>
          <cell r="AV48">
            <v>7307093.8600000003</v>
          </cell>
          <cell r="AW48">
            <v>133232</v>
          </cell>
          <cell r="AX48">
            <v>171919.03</v>
          </cell>
          <cell r="AY48">
            <v>100000</v>
          </cell>
          <cell r="AZ48">
            <v>209687.65</v>
          </cell>
          <cell r="BA48">
            <v>130776.02</v>
          </cell>
          <cell r="BB48">
            <v>108119</v>
          </cell>
          <cell r="BC48">
            <v>108249</v>
          </cell>
          <cell r="BD48">
            <v>132510.87</v>
          </cell>
          <cell r="BE48">
            <v>187942.09</v>
          </cell>
          <cell r="BF48">
            <v>129253</v>
          </cell>
          <cell r="BG48">
            <v>177675</v>
          </cell>
          <cell r="BH48">
            <v>118549</v>
          </cell>
          <cell r="BI48">
            <v>129104.23</v>
          </cell>
          <cell r="BJ48">
            <v>107054.99</v>
          </cell>
          <cell r="BK48">
            <v>282556.82</v>
          </cell>
          <cell r="BL48">
            <v>108185</v>
          </cell>
          <cell r="BM48">
            <v>144716.17000000001</v>
          </cell>
          <cell r="BN48">
            <v>151436</v>
          </cell>
          <cell r="BO48">
            <v>131623.15</v>
          </cell>
          <cell r="BP48">
            <v>231156.13</v>
          </cell>
          <cell r="BQ48">
            <v>203186</v>
          </cell>
          <cell r="BR48">
            <v>177164</v>
          </cell>
          <cell r="BS48">
            <v>199575</v>
          </cell>
          <cell r="BT48">
            <v>195807.26</v>
          </cell>
          <cell r="BU48">
            <v>139391</v>
          </cell>
          <cell r="BV48">
            <v>244831.52</v>
          </cell>
          <cell r="BW48">
            <v>117510</v>
          </cell>
          <cell r="BX48">
            <v>152460</v>
          </cell>
          <cell r="BY48">
            <v>156051.66</v>
          </cell>
          <cell r="BZ48">
            <v>293510.21000000002</v>
          </cell>
          <cell r="CA48">
            <v>141126.46</v>
          </cell>
          <cell r="CB48">
            <v>134525</v>
          </cell>
          <cell r="CC48">
            <v>142383.70000000001</v>
          </cell>
          <cell r="CD48">
            <v>178839.71</v>
          </cell>
          <cell r="CE48">
            <v>250489</v>
          </cell>
          <cell r="CF48">
            <v>117011</v>
          </cell>
          <cell r="CG48">
            <v>116132.78</v>
          </cell>
          <cell r="CH48">
            <v>258135.39</v>
          </cell>
          <cell r="CI48">
            <v>100360</v>
          </cell>
          <cell r="CJ48">
            <v>219961.26</v>
          </cell>
          <cell r="CK48">
            <v>185639.67999999999</v>
          </cell>
          <cell r="CL48">
            <v>155650.71</v>
          </cell>
          <cell r="CM48">
            <v>200254.38</v>
          </cell>
          <cell r="CN48">
            <v>427903.01</v>
          </cell>
          <cell r="CO48">
            <v>141417.48000000001</v>
          </cell>
          <cell r="CP48">
            <v>187367.08</v>
          </cell>
          <cell r="CQ48">
            <v>217337</v>
          </cell>
          <cell r="CR48">
            <v>120254</v>
          </cell>
          <cell r="CS48">
            <v>424748.46</v>
          </cell>
          <cell r="CT48">
            <v>458112.84</v>
          </cell>
          <cell r="CU48">
            <v>116068</v>
          </cell>
          <cell r="CV48">
            <v>100300</v>
          </cell>
          <cell r="CW48">
            <v>131316.29</v>
          </cell>
          <cell r="CX48">
            <v>206645</v>
          </cell>
          <cell r="CY48">
            <v>100000</v>
          </cell>
          <cell r="CZ48">
            <v>98518</v>
          </cell>
          <cell r="DA48">
            <v>119715</v>
          </cell>
          <cell r="DB48">
            <v>279008.15999999997</v>
          </cell>
          <cell r="DC48">
            <v>226588.26</v>
          </cell>
          <cell r="DD48">
            <v>100000</v>
          </cell>
          <cell r="DE48">
            <v>100000</v>
          </cell>
          <cell r="DF48">
            <v>100059</v>
          </cell>
          <cell r="DG48">
            <v>100750</v>
          </cell>
          <cell r="DH48">
            <v>145670</v>
          </cell>
        </row>
        <row r="49">
          <cell r="A49" t="str">
            <v>1310990</v>
          </cell>
          <cell r="B49" t="str">
            <v>1310990</v>
          </cell>
          <cell r="C49" t="str">
            <v>Cash Misc Adj</v>
          </cell>
          <cell r="D49">
            <v>2207825.1800000002</v>
          </cell>
          <cell r="E49">
            <v>2556848.2000000002</v>
          </cell>
          <cell r="F49">
            <v>2555250.65</v>
          </cell>
          <cell r="G49">
            <v>2794242.5</v>
          </cell>
          <cell r="H49">
            <v>1185737.08</v>
          </cell>
          <cell r="I49">
            <v>326217.86</v>
          </cell>
          <cell r="J49">
            <v>369621.2</v>
          </cell>
          <cell r="K49">
            <v>372966.15</v>
          </cell>
          <cell r="L49">
            <v>4329383.93</v>
          </cell>
          <cell r="M49">
            <v>1573120.2</v>
          </cell>
          <cell r="N49">
            <v>-469623.53</v>
          </cell>
          <cell r="O49">
            <v>4863295.8099999996</v>
          </cell>
          <cell r="P49">
            <v>4078033.64</v>
          </cell>
          <cell r="Q49">
            <v>3774529.61</v>
          </cell>
          <cell r="R49">
            <v>3103012.71</v>
          </cell>
          <cell r="S49">
            <v>3069198.05</v>
          </cell>
          <cell r="T49">
            <v>2851376.65</v>
          </cell>
          <cell r="U49">
            <v>432316.01</v>
          </cell>
          <cell r="V49">
            <v>390083.87</v>
          </cell>
          <cell r="W49">
            <v>400888.99</v>
          </cell>
          <cell r="X49">
            <v>383254.5</v>
          </cell>
          <cell r="Y49">
            <v>372637.4</v>
          </cell>
          <cell r="Z49">
            <v>382827.51</v>
          </cell>
          <cell r="AA49">
            <v>3946287.84</v>
          </cell>
          <cell r="AB49">
            <v>3930761.5</v>
          </cell>
          <cell r="AC49">
            <v>3663050.16</v>
          </cell>
          <cell r="AD49">
            <v>2676546.87</v>
          </cell>
          <cell r="AE49">
            <v>375115.14</v>
          </cell>
          <cell r="AF49">
            <v>4164081.84</v>
          </cell>
          <cell r="AG49">
            <v>2959258.6</v>
          </cell>
          <cell r="AH49">
            <v>5060230.62</v>
          </cell>
          <cell r="AI49">
            <v>5626177.1799999997</v>
          </cell>
          <cell r="AJ49">
            <v>2920816.88</v>
          </cell>
          <cell r="AK49">
            <v>3468537.33</v>
          </cell>
          <cell r="AL49">
            <v>3191932.82</v>
          </cell>
          <cell r="AM49">
            <v>12202083.470000001</v>
          </cell>
          <cell r="AN49">
            <v>5427155.3399999999</v>
          </cell>
          <cell r="AO49">
            <v>611972.86</v>
          </cell>
          <cell r="AP49">
            <v>8890266.5899999999</v>
          </cell>
          <cell r="AQ49">
            <v>5033891.47</v>
          </cell>
          <cell r="AR49">
            <v>10828878.630000001</v>
          </cell>
          <cell r="AS49">
            <v>10369734.470000001</v>
          </cell>
          <cell r="AT49">
            <v>5137481.8</v>
          </cell>
          <cell r="AU49">
            <v>8650716.8000000007</v>
          </cell>
          <cell r="AV49">
            <v>-4281506.63</v>
          </cell>
          <cell r="AW49">
            <v>6657507.8300000001</v>
          </cell>
          <cell r="AX49">
            <v>7341958.0099999998</v>
          </cell>
          <cell r="AY49">
            <v>15752138.189999999</v>
          </cell>
          <cell r="AZ49">
            <v>8017752.7699999996</v>
          </cell>
          <cell r="BA49">
            <v>7826133.7199999997</v>
          </cell>
          <cell r="BB49">
            <v>10366444.890000001</v>
          </cell>
          <cell r="BC49">
            <v>4144097.38</v>
          </cell>
          <cell r="BD49">
            <v>5989570.2400000002</v>
          </cell>
          <cell r="BE49">
            <v>5378519.8300000001</v>
          </cell>
          <cell r="BF49">
            <v>5402843.1100000003</v>
          </cell>
          <cell r="BG49">
            <v>6414039.2000000002</v>
          </cell>
          <cell r="BH49">
            <v>7025110.0700000003</v>
          </cell>
          <cell r="BI49">
            <v>7039902.4500000002</v>
          </cell>
          <cell r="BJ49">
            <v>6855747.6799999997</v>
          </cell>
          <cell r="BK49">
            <v>17691226.23</v>
          </cell>
          <cell r="BL49">
            <v>3759221.39</v>
          </cell>
          <cell r="BM49">
            <v>6747072.9299999997</v>
          </cell>
          <cell r="BN49">
            <v>3644616.55</v>
          </cell>
          <cell r="BO49">
            <v>7055143.9500000002</v>
          </cell>
          <cell r="BP49">
            <v>3804055.28</v>
          </cell>
          <cell r="BQ49">
            <v>5420424.9299999997</v>
          </cell>
          <cell r="BR49">
            <v>4353729.2</v>
          </cell>
          <cell r="BS49">
            <v>3877103.13</v>
          </cell>
          <cell r="BT49">
            <v>5982709.7699999996</v>
          </cell>
          <cell r="BU49">
            <v>2177468.23</v>
          </cell>
          <cell r="BV49">
            <v>3471258.92</v>
          </cell>
          <cell r="BW49">
            <v>6032045.4800000004</v>
          </cell>
          <cell r="BX49">
            <v>3059925.6</v>
          </cell>
          <cell r="BY49">
            <v>6220611.0199999996</v>
          </cell>
          <cell r="BZ49">
            <v>8029323.21</v>
          </cell>
          <cell r="CA49">
            <v>1363862.25</v>
          </cell>
          <cell r="CB49">
            <v>9038231.4700000007</v>
          </cell>
          <cell r="CC49">
            <v>8598774.1500000004</v>
          </cell>
          <cell r="CD49">
            <v>4145603.57</v>
          </cell>
          <cell r="CE49">
            <v>4181538.25</v>
          </cell>
          <cell r="CF49">
            <v>5288490.38</v>
          </cell>
          <cell r="CG49">
            <v>6155639.7199999997</v>
          </cell>
          <cell r="CH49">
            <v>10279420.67</v>
          </cell>
          <cell r="CI49">
            <v>12028358.17</v>
          </cell>
          <cell r="CJ49">
            <v>2444274.5299999998</v>
          </cell>
          <cell r="CK49">
            <v>6381098.21</v>
          </cell>
          <cell r="CL49">
            <v>4731190.66</v>
          </cell>
          <cell r="CM49">
            <v>-2239962.9</v>
          </cell>
          <cell r="CN49">
            <v>306434.31</v>
          </cell>
          <cell r="CO49">
            <v>-2555683.4500000002</v>
          </cell>
          <cell r="CP49">
            <v>-2242925.3199999998</v>
          </cell>
          <cell r="CQ49">
            <v>-2379188.7200000002</v>
          </cell>
          <cell r="CR49">
            <v>-3300505.6000000001</v>
          </cell>
          <cell r="CS49">
            <v>-3019248.11</v>
          </cell>
          <cell r="CT49">
            <v>-3348659.75</v>
          </cell>
          <cell r="CU49">
            <v>9248676.8599999994</v>
          </cell>
          <cell r="CV49">
            <v>2519272.86</v>
          </cell>
          <cell r="CW49">
            <v>10270282.460000001</v>
          </cell>
          <cell r="CX49">
            <v>8351087.1200000001</v>
          </cell>
          <cell r="CY49">
            <v>7872477.3099999996</v>
          </cell>
          <cell r="CZ49">
            <v>7559311.7000000002</v>
          </cell>
          <cell r="DA49">
            <v>8606453.0700000003</v>
          </cell>
          <cell r="DB49">
            <v>8202982.6399999997</v>
          </cell>
          <cell r="DC49">
            <v>8213276.8700000001</v>
          </cell>
          <cell r="DD49">
            <v>6370715.2699999996</v>
          </cell>
          <cell r="DE49">
            <v>8307806.1900000004</v>
          </cell>
          <cell r="DF49">
            <v>7121024</v>
          </cell>
          <cell r="DG49">
            <v>22811587.600000001</v>
          </cell>
          <cell r="DH49">
            <v>8060769.2400000002</v>
          </cell>
        </row>
        <row r="50">
          <cell r="A50" t="str">
            <v>1340200</v>
          </cell>
          <cell r="B50" t="str">
            <v>1340200</v>
          </cell>
          <cell r="C50" t="str">
            <v>Oth Spec Dep LT</v>
          </cell>
          <cell r="D50">
            <v>25000</v>
          </cell>
          <cell r="E50">
            <v>25000</v>
          </cell>
          <cell r="F50">
            <v>25000</v>
          </cell>
          <cell r="G50">
            <v>25000</v>
          </cell>
          <cell r="H50">
            <v>25000</v>
          </cell>
          <cell r="I50">
            <v>25000</v>
          </cell>
          <cell r="J50">
            <v>25000</v>
          </cell>
          <cell r="K50">
            <v>25000</v>
          </cell>
          <cell r="L50">
            <v>25000</v>
          </cell>
          <cell r="M50">
            <v>25000</v>
          </cell>
          <cell r="N50">
            <v>25000</v>
          </cell>
          <cell r="O50">
            <v>25000</v>
          </cell>
          <cell r="P50">
            <v>25000</v>
          </cell>
          <cell r="Q50">
            <v>25000</v>
          </cell>
          <cell r="R50">
            <v>25000</v>
          </cell>
          <cell r="S50">
            <v>25000</v>
          </cell>
          <cell r="T50">
            <v>25000</v>
          </cell>
          <cell r="U50">
            <v>25000</v>
          </cell>
          <cell r="V50">
            <v>25000</v>
          </cell>
          <cell r="W50">
            <v>25000</v>
          </cell>
          <cell r="X50">
            <v>25000</v>
          </cell>
          <cell r="Y50">
            <v>25000</v>
          </cell>
          <cell r="Z50">
            <v>25000</v>
          </cell>
          <cell r="AA50">
            <v>25000</v>
          </cell>
          <cell r="AB50">
            <v>25000</v>
          </cell>
          <cell r="AC50">
            <v>25000</v>
          </cell>
          <cell r="AD50">
            <v>25000</v>
          </cell>
          <cell r="AE50">
            <v>25000</v>
          </cell>
          <cell r="AF50">
            <v>25000</v>
          </cell>
          <cell r="AG50">
            <v>25000</v>
          </cell>
          <cell r="AH50">
            <v>25000</v>
          </cell>
          <cell r="AI50">
            <v>25000</v>
          </cell>
          <cell r="AJ50">
            <v>25000</v>
          </cell>
          <cell r="AK50">
            <v>25000</v>
          </cell>
          <cell r="AL50">
            <v>25000</v>
          </cell>
          <cell r="AM50">
            <v>25000</v>
          </cell>
          <cell r="AN50">
            <v>25000</v>
          </cell>
          <cell r="AO50">
            <v>25000</v>
          </cell>
          <cell r="AP50">
            <v>25000</v>
          </cell>
          <cell r="AQ50">
            <v>25000</v>
          </cell>
          <cell r="AR50">
            <v>25000</v>
          </cell>
          <cell r="AS50">
            <v>25000</v>
          </cell>
          <cell r="AT50">
            <v>25000</v>
          </cell>
          <cell r="AU50">
            <v>25000</v>
          </cell>
          <cell r="AV50">
            <v>25000</v>
          </cell>
          <cell r="AW50">
            <v>25000</v>
          </cell>
          <cell r="AX50">
            <v>25000</v>
          </cell>
          <cell r="AY50">
            <v>25000</v>
          </cell>
          <cell r="AZ50">
            <v>25000</v>
          </cell>
          <cell r="BA50">
            <v>25000</v>
          </cell>
          <cell r="BB50">
            <v>25000</v>
          </cell>
          <cell r="BC50">
            <v>25000</v>
          </cell>
          <cell r="BD50">
            <v>25000</v>
          </cell>
          <cell r="BE50">
            <v>25000</v>
          </cell>
          <cell r="BF50">
            <v>25000</v>
          </cell>
          <cell r="BG50">
            <v>25000</v>
          </cell>
          <cell r="BH50">
            <v>25000</v>
          </cell>
          <cell r="BI50">
            <v>25000</v>
          </cell>
          <cell r="BJ50">
            <v>25000</v>
          </cell>
          <cell r="BK50">
            <v>25000</v>
          </cell>
          <cell r="BL50">
            <v>25000</v>
          </cell>
          <cell r="BM50">
            <v>25000</v>
          </cell>
          <cell r="BN50">
            <v>25000</v>
          </cell>
          <cell r="BO50">
            <v>25000</v>
          </cell>
          <cell r="BP50">
            <v>25000</v>
          </cell>
          <cell r="BQ50">
            <v>25000</v>
          </cell>
          <cell r="BR50">
            <v>25000</v>
          </cell>
          <cell r="BS50">
            <v>25000</v>
          </cell>
          <cell r="BT50">
            <v>25000</v>
          </cell>
          <cell r="BU50">
            <v>25000</v>
          </cell>
          <cell r="BV50">
            <v>25000</v>
          </cell>
          <cell r="BW50">
            <v>25000</v>
          </cell>
          <cell r="BX50">
            <v>25000</v>
          </cell>
          <cell r="BY50">
            <v>25000</v>
          </cell>
          <cell r="BZ50">
            <v>25000</v>
          </cell>
          <cell r="CA50">
            <v>25000</v>
          </cell>
          <cell r="CB50">
            <v>25000</v>
          </cell>
          <cell r="CC50">
            <v>25000</v>
          </cell>
          <cell r="CD50">
            <v>25000</v>
          </cell>
          <cell r="CE50">
            <v>25000</v>
          </cell>
          <cell r="CF50">
            <v>25000</v>
          </cell>
          <cell r="CG50">
            <v>25000</v>
          </cell>
          <cell r="CH50">
            <v>25000</v>
          </cell>
          <cell r="CI50">
            <v>25000</v>
          </cell>
          <cell r="CJ50">
            <v>25000</v>
          </cell>
          <cell r="CK50">
            <v>25000</v>
          </cell>
          <cell r="CL50">
            <v>25000</v>
          </cell>
          <cell r="CM50">
            <v>25000</v>
          </cell>
          <cell r="CN50">
            <v>25000</v>
          </cell>
          <cell r="CO50">
            <v>25000</v>
          </cell>
          <cell r="CP50">
            <v>25000</v>
          </cell>
          <cell r="CQ50">
            <v>25000</v>
          </cell>
          <cell r="CR50">
            <v>25000</v>
          </cell>
          <cell r="CS50">
            <v>25000</v>
          </cell>
          <cell r="CT50">
            <v>25000</v>
          </cell>
          <cell r="CU50">
            <v>25000</v>
          </cell>
          <cell r="CV50">
            <v>25000</v>
          </cell>
          <cell r="CW50">
            <v>25000</v>
          </cell>
          <cell r="CX50">
            <v>25000</v>
          </cell>
          <cell r="CY50">
            <v>25000</v>
          </cell>
          <cell r="CZ50">
            <v>25000</v>
          </cell>
          <cell r="DA50">
            <v>25000</v>
          </cell>
          <cell r="DB50">
            <v>25000</v>
          </cell>
          <cell r="DC50">
            <v>25000</v>
          </cell>
          <cell r="DD50">
            <v>25000</v>
          </cell>
          <cell r="DE50">
            <v>25000</v>
          </cell>
          <cell r="DF50">
            <v>25000</v>
          </cell>
          <cell r="DG50">
            <v>25000</v>
          </cell>
          <cell r="DH50">
            <v>25000</v>
          </cell>
        </row>
        <row r="51">
          <cell r="A51" t="str">
            <v>1350000</v>
          </cell>
          <cell r="B51" t="str">
            <v>1350000</v>
          </cell>
          <cell r="C51" t="str">
            <v>Petty Cash USD</v>
          </cell>
          <cell r="D51">
            <v>3500</v>
          </cell>
          <cell r="E51">
            <v>3500</v>
          </cell>
          <cell r="F51">
            <v>3500</v>
          </cell>
          <cell r="G51">
            <v>3500</v>
          </cell>
          <cell r="H51">
            <v>3500</v>
          </cell>
          <cell r="I51">
            <v>3500</v>
          </cell>
          <cell r="J51">
            <v>3500</v>
          </cell>
          <cell r="K51">
            <v>3450</v>
          </cell>
          <cell r="L51">
            <v>3450</v>
          </cell>
          <cell r="M51">
            <v>3450</v>
          </cell>
          <cell r="N51">
            <v>3450</v>
          </cell>
          <cell r="O51">
            <v>3450</v>
          </cell>
          <cell r="P51">
            <v>3450</v>
          </cell>
          <cell r="Q51">
            <v>3450</v>
          </cell>
          <cell r="R51">
            <v>3450</v>
          </cell>
          <cell r="S51">
            <v>3450</v>
          </cell>
          <cell r="T51">
            <v>3450</v>
          </cell>
          <cell r="U51">
            <v>2950</v>
          </cell>
          <cell r="V51">
            <v>2950</v>
          </cell>
          <cell r="W51">
            <v>2950</v>
          </cell>
          <cell r="X51">
            <v>2950</v>
          </cell>
          <cell r="Y51">
            <v>2950</v>
          </cell>
          <cell r="Z51">
            <v>2950</v>
          </cell>
          <cell r="AA51">
            <v>2950</v>
          </cell>
          <cell r="AB51">
            <v>2950</v>
          </cell>
          <cell r="AC51">
            <v>2950</v>
          </cell>
          <cell r="AD51">
            <v>2950</v>
          </cell>
          <cell r="AE51">
            <v>2950</v>
          </cell>
          <cell r="AF51">
            <v>2950</v>
          </cell>
          <cell r="AG51">
            <v>2950</v>
          </cell>
          <cell r="AH51">
            <v>2950</v>
          </cell>
          <cell r="AI51">
            <v>2950</v>
          </cell>
          <cell r="AJ51">
            <v>2950</v>
          </cell>
          <cell r="AK51">
            <v>3450</v>
          </cell>
          <cell r="AL51">
            <v>3450</v>
          </cell>
          <cell r="AM51">
            <v>2950</v>
          </cell>
          <cell r="AN51">
            <v>2950</v>
          </cell>
          <cell r="AO51">
            <v>2950</v>
          </cell>
          <cell r="AP51">
            <v>2950</v>
          </cell>
          <cell r="AQ51">
            <v>2950</v>
          </cell>
          <cell r="AR51">
            <v>2950</v>
          </cell>
          <cell r="AS51">
            <v>2950</v>
          </cell>
          <cell r="AT51">
            <v>2950</v>
          </cell>
          <cell r="AU51">
            <v>2950</v>
          </cell>
          <cell r="AV51">
            <v>2950</v>
          </cell>
          <cell r="AW51">
            <v>2950</v>
          </cell>
          <cell r="AX51">
            <v>2950</v>
          </cell>
          <cell r="AY51">
            <v>2950</v>
          </cell>
          <cell r="AZ51">
            <v>2950</v>
          </cell>
          <cell r="BA51">
            <v>2950</v>
          </cell>
          <cell r="BB51">
            <v>2950</v>
          </cell>
          <cell r="BC51">
            <v>2950</v>
          </cell>
          <cell r="BD51">
            <v>2950</v>
          </cell>
          <cell r="BE51">
            <v>2950</v>
          </cell>
          <cell r="BF51">
            <v>2950</v>
          </cell>
          <cell r="BG51">
            <v>2950</v>
          </cell>
          <cell r="BH51">
            <v>2950</v>
          </cell>
          <cell r="BI51">
            <v>2950</v>
          </cell>
          <cell r="BJ51">
            <v>2950</v>
          </cell>
          <cell r="BK51">
            <v>2950</v>
          </cell>
          <cell r="BL51">
            <v>2950</v>
          </cell>
          <cell r="BM51">
            <v>2950</v>
          </cell>
          <cell r="BN51">
            <v>2950</v>
          </cell>
          <cell r="BO51">
            <v>2950</v>
          </cell>
          <cell r="BP51">
            <v>2950</v>
          </cell>
          <cell r="BQ51">
            <v>2950</v>
          </cell>
          <cell r="BR51">
            <v>2950</v>
          </cell>
          <cell r="BS51">
            <v>2950</v>
          </cell>
          <cell r="BT51">
            <v>2950</v>
          </cell>
          <cell r="BU51">
            <v>2950</v>
          </cell>
          <cell r="BV51">
            <v>2950</v>
          </cell>
          <cell r="BW51">
            <v>2950</v>
          </cell>
          <cell r="BX51">
            <v>2950</v>
          </cell>
          <cell r="BY51">
            <v>2950</v>
          </cell>
          <cell r="BZ51">
            <v>2950</v>
          </cell>
          <cell r="CA51">
            <v>2950</v>
          </cell>
          <cell r="CB51">
            <v>2950</v>
          </cell>
          <cell r="CC51">
            <v>2950</v>
          </cell>
          <cell r="CD51">
            <v>2950</v>
          </cell>
          <cell r="CE51">
            <v>2950</v>
          </cell>
          <cell r="CF51">
            <v>2950</v>
          </cell>
          <cell r="CG51">
            <v>2950</v>
          </cell>
          <cell r="CH51">
            <v>2950</v>
          </cell>
          <cell r="CI51">
            <v>2950</v>
          </cell>
          <cell r="CJ51">
            <v>2950</v>
          </cell>
          <cell r="CK51">
            <v>2950</v>
          </cell>
          <cell r="CL51">
            <v>2950</v>
          </cell>
          <cell r="CM51">
            <v>2950</v>
          </cell>
          <cell r="CN51">
            <v>2950</v>
          </cell>
          <cell r="CO51">
            <v>2950</v>
          </cell>
          <cell r="CP51">
            <v>2950</v>
          </cell>
          <cell r="CQ51">
            <v>2950</v>
          </cell>
          <cell r="CR51">
            <v>2950</v>
          </cell>
          <cell r="CS51">
            <v>2950</v>
          </cell>
          <cell r="CT51">
            <v>2950</v>
          </cell>
          <cell r="CU51">
            <v>2950</v>
          </cell>
          <cell r="CV51">
            <v>2950</v>
          </cell>
          <cell r="CW51">
            <v>2950</v>
          </cell>
          <cell r="CX51">
            <v>2950</v>
          </cell>
          <cell r="CY51">
            <v>2950</v>
          </cell>
          <cell r="CZ51">
            <v>2950</v>
          </cell>
          <cell r="DA51">
            <v>2950</v>
          </cell>
          <cell r="DB51">
            <v>2950</v>
          </cell>
          <cell r="DC51">
            <v>2950</v>
          </cell>
          <cell r="DD51">
            <v>2950</v>
          </cell>
          <cell r="DE51">
            <v>2950</v>
          </cell>
          <cell r="DF51">
            <v>2950</v>
          </cell>
          <cell r="DG51">
            <v>2950</v>
          </cell>
          <cell r="DH51">
            <v>2950</v>
          </cell>
        </row>
        <row r="52">
          <cell r="A52" t="str">
            <v>1420400</v>
          </cell>
          <cell r="B52" t="str">
            <v>1420400</v>
          </cell>
          <cell r="C52" t="str">
            <v>AR CRM RECON</v>
          </cell>
          <cell r="AO52">
            <v>25568247.780000001</v>
          </cell>
          <cell r="AP52">
            <v>26752718.670000002</v>
          </cell>
          <cell r="AQ52">
            <v>22643359.32</v>
          </cell>
          <cell r="AR52">
            <v>24049024.02</v>
          </cell>
          <cell r="AS52">
            <v>20824640.829999998</v>
          </cell>
          <cell r="AT52">
            <v>19134322.170000002</v>
          </cell>
          <cell r="AU52">
            <v>18573233.079999998</v>
          </cell>
          <cell r="AV52">
            <v>14873248.439999999</v>
          </cell>
          <cell r="AW52">
            <v>19546545.170000002</v>
          </cell>
          <cell r="AX52">
            <v>17574397.530000001</v>
          </cell>
          <cell r="AY52">
            <v>21378201.82</v>
          </cell>
          <cell r="AZ52">
            <v>25220364.420000002</v>
          </cell>
          <cell r="BA52">
            <v>33998061.049999997</v>
          </cell>
          <cell r="BB52">
            <v>31050787.07</v>
          </cell>
          <cell r="BC52">
            <v>26543834.23</v>
          </cell>
          <cell r="BD52">
            <v>27168187.940000001</v>
          </cell>
          <cell r="BE52">
            <v>22659335.059999999</v>
          </cell>
          <cell r="BF52">
            <v>21542336.32</v>
          </cell>
          <cell r="BG52">
            <v>20060723.140000001</v>
          </cell>
          <cell r="BH52">
            <v>16932231.059999999</v>
          </cell>
          <cell r="BI52">
            <v>22029116.82</v>
          </cell>
          <cell r="BJ52">
            <v>19584560.550000001</v>
          </cell>
          <cell r="BK52">
            <v>21530275.149999999</v>
          </cell>
          <cell r="BL52">
            <v>25510306.289999999</v>
          </cell>
          <cell r="BM52">
            <v>28138943.129999999</v>
          </cell>
          <cell r="BN52">
            <v>29865132.850000001</v>
          </cell>
          <cell r="BO52">
            <v>27188493.48</v>
          </cell>
          <cell r="BP52">
            <v>24115802.109999999</v>
          </cell>
          <cell r="BQ52">
            <v>21043844.59</v>
          </cell>
          <cell r="BR52">
            <v>20508936.23</v>
          </cell>
          <cell r="BS52">
            <v>18497831.829999998</v>
          </cell>
          <cell r="BT52">
            <v>17018307.600000001</v>
          </cell>
          <cell r="BU52">
            <v>19383604.25</v>
          </cell>
          <cell r="BV52">
            <v>17383938.379999999</v>
          </cell>
          <cell r="BW52">
            <v>21813502.469999999</v>
          </cell>
          <cell r="BX52">
            <v>26207841.449999999</v>
          </cell>
          <cell r="BY52">
            <v>28814229.329999998</v>
          </cell>
          <cell r="BZ52">
            <v>29457788.809999999</v>
          </cell>
          <cell r="CA52">
            <v>26732166.68</v>
          </cell>
          <cell r="CB52">
            <v>24042297.670000002</v>
          </cell>
          <cell r="CC52">
            <v>23768990.760000002</v>
          </cell>
          <cell r="CD52">
            <v>21895029.829999998</v>
          </cell>
          <cell r="CE52">
            <v>20012870.460000001</v>
          </cell>
          <cell r="CF52">
            <v>20937102.98</v>
          </cell>
          <cell r="CG52">
            <v>20879257.16</v>
          </cell>
          <cell r="CH52">
            <v>20212337.640000001</v>
          </cell>
          <cell r="CI52">
            <v>24110219.210000001</v>
          </cell>
          <cell r="CJ52">
            <v>27398149.84</v>
          </cell>
          <cell r="CK52">
            <v>39748767.259999998</v>
          </cell>
          <cell r="CL52">
            <v>40559043.670000002</v>
          </cell>
          <cell r="CM52">
            <v>34244077.100000001</v>
          </cell>
          <cell r="CN52">
            <v>33226670.600000001</v>
          </cell>
          <cell r="CO52">
            <v>29943858.16</v>
          </cell>
          <cell r="CP52">
            <v>27209510.16</v>
          </cell>
          <cell r="CQ52">
            <v>27514498.629999999</v>
          </cell>
          <cell r="CR52">
            <v>24352948.850000001</v>
          </cell>
          <cell r="CS52">
            <v>26152595.670000002</v>
          </cell>
          <cell r="CT52">
            <v>26343935.699999999</v>
          </cell>
          <cell r="CU52">
            <v>29144009.329999998</v>
          </cell>
          <cell r="CV52">
            <v>35036564.810000002</v>
          </cell>
          <cell r="CW52">
            <v>42793359.859999999</v>
          </cell>
          <cell r="CX52">
            <v>48311239.240000002</v>
          </cell>
          <cell r="CY52">
            <v>37908924.539999999</v>
          </cell>
          <cell r="CZ52">
            <v>37018604.509999998</v>
          </cell>
          <cell r="DA52">
            <v>34638748.670000002</v>
          </cell>
          <cell r="DB52">
            <v>30864482.449999999</v>
          </cell>
          <cell r="DC52">
            <v>30029452.710000001</v>
          </cell>
          <cell r="DD52">
            <v>27710853.149999999</v>
          </cell>
          <cell r="DE52">
            <v>31263216.210000001</v>
          </cell>
          <cell r="DF52">
            <v>31958005.16</v>
          </cell>
          <cell r="DG52">
            <v>30152953.25</v>
          </cell>
          <cell r="DH52">
            <v>34474977.5</v>
          </cell>
        </row>
        <row r="53">
          <cell r="A53" t="str">
            <v>1420401</v>
          </cell>
          <cell r="B53" t="str">
            <v>1420401</v>
          </cell>
          <cell r="C53" t="str">
            <v>AR CRM Posting</v>
          </cell>
          <cell r="AO53">
            <v>11185.56</v>
          </cell>
          <cell r="AP53">
            <v>30777.66</v>
          </cell>
          <cell r="AQ53">
            <v>36501.519999999997</v>
          </cell>
          <cell r="AR53">
            <v>-80484.22</v>
          </cell>
          <cell r="AS53">
            <v>-16606.82</v>
          </cell>
          <cell r="AT53">
            <v>4028.45</v>
          </cell>
          <cell r="AU53">
            <v>6724.84</v>
          </cell>
          <cell r="AV53">
            <v>263.73</v>
          </cell>
          <cell r="AW53">
            <v>-1191.98</v>
          </cell>
          <cell r="AX53">
            <v>-108914.4</v>
          </cell>
          <cell r="AY53">
            <v>-10940.85</v>
          </cell>
          <cell r="AZ53">
            <v>-13449.28</v>
          </cell>
          <cell r="BA53">
            <v>-25965.27</v>
          </cell>
          <cell r="BB53">
            <v>-40801.53</v>
          </cell>
          <cell r="BC53">
            <v>-48348.22</v>
          </cell>
          <cell r="BD53">
            <v>-47002.96</v>
          </cell>
          <cell r="BE53">
            <v>-53685.38</v>
          </cell>
          <cell r="BF53">
            <v>-51878.73</v>
          </cell>
          <cell r="BG53">
            <v>-51179.11</v>
          </cell>
          <cell r="BH53">
            <v>-50901.94</v>
          </cell>
          <cell r="BI53">
            <v>-42058.879999999997</v>
          </cell>
          <cell r="BJ53">
            <v>-49684.160000000003</v>
          </cell>
          <cell r="BK53">
            <v>-53384.21</v>
          </cell>
          <cell r="BL53">
            <v>-71966.92</v>
          </cell>
          <cell r="BM53">
            <v>-68560.490000000005</v>
          </cell>
          <cell r="BN53">
            <v>-63792.56</v>
          </cell>
          <cell r="BO53">
            <v>-72149.61</v>
          </cell>
          <cell r="BP53">
            <v>-69111.31</v>
          </cell>
          <cell r="BQ53">
            <v>-78826.31</v>
          </cell>
          <cell r="BR53">
            <v>-78177.960000000006</v>
          </cell>
          <cell r="BS53">
            <v>-68677.62</v>
          </cell>
          <cell r="BT53">
            <v>-75885.05</v>
          </cell>
          <cell r="BU53">
            <v>-68324.73</v>
          </cell>
          <cell r="BV53">
            <v>-112332.35</v>
          </cell>
          <cell r="BW53">
            <v>-81968.179999999993</v>
          </cell>
          <cell r="BX53">
            <v>-97196.91</v>
          </cell>
          <cell r="BY53">
            <v>-93024.48</v>
          </cell>
          <cell r="BZ53">
            <v>-95902.14</v>
          </cell>
          <cell r="CA53">
            <v>-105822.94</v>
          </cell>
          <cell r="CB53">
            <v>-109230.5</v>
          </cell>
          <cell r="CC53">
            <v>-112703.52</v>
          </cell>
          <cell r="CD53">
            <v>-120985.16</v>
          </cell>
          <cell r="CE53">
            <v>-122686.29</v>
          </cell>
          <cell r="CF53">
            <v>-130415.29</v>
          </cell>
          <cell r="CG53">
            <v>-135428.31</v>
          </cell>
          <cell r="CH53">
            <v>-139068.22</v>
          </cell>
          <cell r="CI53">
            <v>-140837.76999999999</v>
          </cell>
          <cell r="CJ53">
            <v>-159921.63</v>
          </cell>
          <cell r="CK53">
            <v>-145598.48000000001</v>
          </cell>
          <cell r="CL53">
            <v>-140101.26</v>
          </cell>
          <cell r="CM53">
            <v>-183278.41</v>
          </cell>
          <cell r="CN53">
            <v>-182658.71</v>
          </cell>
          <cell r="CO53">
            <v>-176968.09</v>
          </cell>
          <cell r="CP53">
            <v>-166008.39000000001</v>
          </cell>
          <cell r="CQ53">
            <v>-170118.2</v>
          </cell>
          <cell r="CR53">
            <v>-171818.75</v>
          </cell>
          <cell r="CS53">
            <v>-150318.01</v>
          </cell>
          <cell r="CT53">
            <v>-156516.12</v>
          </cell>
          <cell r="CU53">
            <v>-169089.47</v>
          </cell>
          <cell r="CV53">
            <v>-194939.71</v>
          </cell>
          <cell r="CW53">
            <v>-192325.27</v>
          </cell>
          <cell r="CX53">
            <v>-208980.74</v>
          </cell>
          <cell r="CY53">
            <v>-224819.82</v>
          </cell>
          <cell r="CZ53">
            <v>-214304.32</v>
          </cell>
          <cell r="DA53">
            <v>-204014.92</v>
          </cell>
          <cell r="DB53">
            <v>-225629.83</v>
          </cell>
          <cell r="DC53">
            <v>-206219.92</v>
          </cell>
          <cell r="DD53">
            <v>-205239.39</v>
          </cell>
          <cell r="DE53">
            <v>-180798.59</v>
          </cell>
          <cell r="DF53">
            <v>-237188.13</v>
          </cell>
          <cell r="DG53">
            <v>-188911.96</v>
          </cell>
          <cell r="DH53">
            <v>-203735.36</v>
          </cell>
        </row>
        <row r="54">
          <cell r="A54" t="str">
            <v>1420500</v>
          </cell>
          <cell r="B54" t="str">
            <v>1420500</v>
          </cell>
          <cell r="C54" t="str">
            <v>AR CIS - TEC-R</v>
          </cell>
          <cell r="D54">
            <v>20129818.18</v>
          </cell>
          <cell r="E54">
            <v>27584524.829999998</v>
          </cell>
          <cell r="F54">
            <v>27329632.710000001</v>
          </cell>
          <cell r="G54">
            <v>24242990.359999999</v>
          </cell>
          <cell r="H54">
            <v>21283098.43</v>
          </cell>
          <cell r="I54">
            <v>18624678.899999999</v>
          </cell>
          <cell r="J54">
            <v>17741900.280000001</v>
          </cell>
          <cell r="K54">
            <v>17780622.300000001</v>
          </cell>
          <cell r="L54">
            <v>15694632.060000001</v>
          </cell>
          <cell r="M54">
            <v>16187363.539999999</v>
          </cell>
          <cell r="N54">
            <v>17331657.289999999</v>
          </cell>
          <cell r="O54">
            <v>18519179.260000002</v>
          </cell>
          <cell r="P54">
            <v>22554790.969999999</v>
          </cell>
          <cell r="Q54">
            <v>26841211.82</v>
          </cell>
          <cell r="R54">
            <v>25861303.079999998</v>
          </cell>
          <cell r="S54">
            <v>24515305.02</v>
          </cell>
          <cell r="T54">
            <v>20821888.870000001</v>
          </cell>
          <cell r="U54">
            <v>17359076.68</v>
          </cell>
          <cell r="V54">
            <v>17899073.399999999</v>
          </cell>
          <cell r="W54">
            <v>19745102.52</v>
          </cell>
          <cell r="X54">
            <v>16469940.49</v>
          </cell>
          <cell r="Y54">
            <v>17441519.629999999</v>
          </cell>
          <cell r="Z54">
            <v>17980077.600000001</v>
          </cell>
          <cell r="AA54">
            <v>17055092.949999999</v>
          </cell>
          <cell r="AB54">
            <v>19380147.300000001</v>
          </cell>
          <cell r="AC54">
            <v>24902354.800000001</v>
          </cell>
          <cell r="AD54">
            <v>26165765.68</v>
          </cell>
          <cell r="AE54">
            <v>22452608.18</v>
          </cell>
          <cell r="AF54">
            <v>20112518.43</v>
          </cell>
          <cell r="AG54">
            <v>17311711.41</v>
          </cell>
          <cell r="AH54">
            <v>17600430.510000002</v>
          </cell>
          <cell r="AI54">
            <v>13948883.41</v>
          </cell>
          <cell r="AJ54">
            <v>12810488.74</v>
          </cell>
          <cell r="AK54">
            <v>13124306.140000001</v>
          </cell>
          <cell r="AL54">
            <v>13062235.960000001</v>
          </cell>
          <cell r="AM54">
            <v>14169123.369999999</v>
          </cell>
          <cell r="AN54">
            <v>17217019.07</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row>
        <row r="55">
          <cell r="A55" t="str">
            <v>1420510</v>
          </cell>
          <cell r="B55" t="str">
            <v>1420510</v>
          </cell>
          <cell r="C55" t="str">
            <v>AR CIS Increm Billng</v>
          </cell>
          <cell r="D55">
            <v>70754.850000000006</v>
          </cell>
          <cell r="E55">
            <v>64414.31</v>
          </cell>
          <cell r="F55">
            <v>56935.39</v>
          </cell>
          <cell r="G55">
            <v>47934.86</v>
          </cell>
          <cell r="H55">
            <v>38911.870000000003</v>
          </cell>
          <cell r="I55">
            <v>34064.43</v>
          </cell>
          <cell r="J55">
            <v>33648.629999999997</v>
          </cell>
          <cell r="K55">
            <v>37341.449999999997</v>
          </cell>
          <cell r="L55">
            <v>110549.43</v>
          </cell>
          <cell r="M55">
            <v>102103.26</v>
          </cell>
          <cell r="N55">
            <v>93326.68</v>
          </cell>
          <cell r="O55">
            <v>83176.320000000007</v>
          </cell>
          <cell r="P55">
            <v>79871.990000000005</v>
          </cell>
          <cell r="Q55">
            <v>73946.179999999993</v>
          </cell>
          <cell r="R55">
            <v>71365.38</v>
          </cell>
          <cell r="S55">
            <v>66523.58</v>
          </cell>
          <cell r="T55">
            <v>61791.71</v>
          </cell>
          <cell r="U55">
            <v>57416.47</v>
          </cell>
          <cell r="V55">
            <v>53400.95</v>
          </cell>
          <cell r="W55">
            <v>147881.82999999999</v>
          </cell>
          <cell r="X55">
            <v>142368.29</v>
          </cell>
          <cell r="Y55">
            <v>121855.74</v>
          </cell>
          <cell r="Z55">
            <v>137988.62</v>
          </cell>
          <cell r="AA55">
            <v>132441.56</v>
          </cell>
          <cell r="AB55">
            <v>126894.5</v>
          </cell>
          <cell r="AC55">
            <v>123164.26</v>
          </cell>
          <cell r="AD55">
            <v>139340</v>
          </cell>
          <cell r="AE55">
            <v>111689.03</v>
          </cell>
          <cell r="AF55">
            <v>105960.87</v>
          </cell>
          <cell r="AG55">
            <v>100232.67</v>
          </cell>
          <cell r="AH55">
            <v>14538.78</v>
          </cell>
          <cell r="AI55">
            <v>11680.56</v>
          </cell>
          <cell r="AJ55">
            <v>5973.62</v>
          </cell>
          <cell r="AK55">
            <v>3594.75</v>
          </cell>
          <cell r="AL55">
            <v>4690.54</v>
          </cell>
          <cell r="AM55">
            <v>3903.08</v>
          </cell>
          <cell r="AN55">
            <v>3115.62</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row>
        <row r="56">
          <cell r="A56" t="str">
            <v>1420520</v>
          </cell>
          <cell r="B56" t="str">
            <v>1420520</v>
          </cell>
          <cell r="C56" t="str">
            <v>AR CIS Unappl Cash</v>
          </cell>
          <cell r="D56">
            <v>1327072.03</v>
          </cell>
          <cell r="E56">
            <v>1908100.53</v>
          </cell>
          <cell r="F56">
            <v>4463299.4000000004</v>
          </cell>
          <cell r="G56">
            <v>3440441.12</v>
          </cell>
          <cell r="H56">
            <v>2273487.92</v>
          </cell>
          <cell r="I56">
            <v>1330001.8899999999</v>
          </cell>
          <cell r="J56">
            <v>2845900.51</v>
          </cell>
          <cell r="K56">
            <v>990899.55</v>
          </cell>
          <cell r="L56">
            <v>1353672.99</v>
          </cell>
          <cell r="M56">
            <v>2181265.06</v>
          </cell>
          <cell r="N56">
            <v>1362877.2</v>
          </cell>
          <cell r="O56">
            <v>4302890.16</v>
          </cell>
          <cell r="P56">
            <v>1314846.26</v>
          </cell>
          <cell r="Q56">
            <v>1860125.01</v>
          </cell>
          <cell r="R56">
            <v>4666893.54</v>
          </cell>
          <cell r="S56">
            <v>2956490.68</v>
          </cell>
          <cell r="T56">
            <v>1099732.3799999999</v>
          </cell>
          <cell r="U56">
            <v>2768620.87</v>
          </cell>
          <cell r="V56">
            <v>1853795.3</v>
          </cell>
          <cell r="W56">
            <v>1396030.7</v>
          </cell>
          <cell r="X56">
            <v>2523857.06</v>
          </cell>
          <cell r="Y56">
            <v>2064367.11</v>
          </cell>
          <cell r="Z56">
            <v>1324333.74</v>
          </cell>
          <cell r="AA56">
            <v>2950424.98</v>
          </cell>
          <cell r="AB56">
            <v>1704245.09</v>
          </cell>
          <cell r="AC56">
            <v>3812336.37</v>
          </cell>
          <cell r="AD56">
            <v>4467347.3899999997</v>
          </cell>
          <cell r="AE56">
            <v>1217972.8600000001</v>
          </cell>
          <cell r="AF56">
            <v>1711305.73</v>
          </cell>
          <cell r="AG56">
            <v>3165735.05</v>
          </cell>
          <cell r="AH56">
            <v>921447.94</v>
          </cell>
          <cell r="AI56">
            <v>2744242.89</v>
          </cell>
          <cell r="AJ56">
            <v>1335160.45</v>
          </cell>
          <cell r="AK56">
            <v>1206590.51</v>
          </cell>
          <cell r="AL56">
            <v>1594943.04</v>
          </cell>
          <cell r="AM56">
            <v>952464.56</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row>
        <row r="57">
          <cell r="A57" t="str">
            <v>1420530</v>
          </cell>
          <cell r="B57" t="str">
            <v>1420530</v>
          </cell>
          <cell r="C57" t="str">
            <v>AR CIS Unappl Refund</v>
          </cell>
          <cell r="D57">
            <v>-6363.95</v>
          </cell>
          <cell r="E57">
            <v>-6251.5</v>
          </cell>
          <cell r="F57">
            <v>-36118.18</v>
          </cell>
          <cell r="G57">
            <v>-16776.57</v>
          </cell>
          <cell r="H57">
            <v>-3698.28</v>
          </cell>
          <cell r="I57">
            <v>-6412.59</v>
          </cell>
          <cell r="J57">
            <v>-79432.350000000006</v>
          </cell>
          <cell r="K57">
            <v>-42417.58</v>
          </cell>
          <cell r="L57">
            <v>-10055.700000000001</v>
          </cell>
          <cell r="M57">
            <v>-13019.47</v>
          </cell>
          <cell r="N57">
            <v>4156.46</v>
          </cell>
          <cell r="O57">
            <v>-19411.650000000001</v>
          </cell>
          <cell r="P57">
            <v>15557.33</v>
          </cell>
          <cell r="Q57">
            <v>360</v>
          </cell>
          <cell r="R57">
            <v>6143.82</v>
          </cell>
          <cell r="S57">
            <v>-26200.67</v>
          </cell>
          <cell r="T57">
            <v>-15776.46</v>
          </cell>
          <cell r="U57">
            <v>-16857.54</v>
          </cell>
          <cell r="V57">
            <v>-51908.37</v>
          </cell>
          <cell r="W57">
            <v>1202.04</v>
          </cell>
          <cell r="X57">
            <v>-2230.4499999999998</v>
          </cell>
          <cell r="Y57">
            <v>-13613.6</v>
          </cell>
          <cell r="Z57">
            <v>11393.56</v>
          </cell>
          <cell r="AA57">
            <v>-49576.98</v>
          </cell>
          <cell r="AB57">
            <v>-938.9</v>
          </cell>
          <cell r="AC57">
            <v>15526.97</v>
          </cell>
          <cell r="AD57">
            <v>7139.49</v>
          </cell>
          <cell r="AE57">
            <v>-66138.720000000001</v>
          </cell>
          <cell r="AF57">
            <v>-18045.240000000002</v>
          </cell>
          <cell r="AG57">
            <v>-59676.1</v>
          </cell>
          <cell r="AH57">
            <v>-3977.46</v>
          </cell>
          <cell r="AI57">
            <v>-26629.69</v>
          </cell>
          <cell r="AJ57">
            <v>-1280.29</v>
          </cell>
          <cell r="AK57">
            <v>-33628.36</v>
          </cell>
          <cell r="AL57">
            <v>-7452.89</v>
          </cell>
          <cell r="AM57">
            <v>16191.22</v>
          </cell>
          <cell r="AN57">
            <v>70767.570000000007</v>
          </cell>
          <cell r="AO57">
            <v>70767.570000000007</v>
          </cell>
          <cell r="AP57">
            <v>70767.570000000007</v>
          </cell>
          <cell r="AQ57">
            <v>70767.570000000007</v>
          </cell>
          <cell r="AR57">
            <v>70767.570000000007</v>
          </cell>
          <cell r="AS57">
            <v>70767.570000000007</v>
          </cell>
          <cell r="AT57">
            <v>70767.570000000007</v>
          </cell>
          <cell r="AU57">
            <v>70767.570000000007</v>
          </cell>
          <cell r="AV57">
            <v>70767.570000000007</v>
          </cell>
          <cell r="AW57">
            <v>70767.570000000007</v>
          </cell>
          <cell r="AX57">
            <v>70767.570000000007</v>
          </cell>
          <cell r="AY57">
            <v>70767.570000000007</v>
          </cell>
          <cell r="AZ57">
            <v>70767.570000000007</v>
          </cell>
          <cell r="BA57">
            <v>70767.570000000007</v>
          </cell>
          <cell r="BB57">
            <v>70767.570000000007</v>
          </cell>
          <cell r="BC57">
            <v>70767.570000000007</v>
          </cell>
          <cell r="BD57">
            <v>70767.570000000007</v>
          </cell>
          <cell r="BE57">
            <v>70767.570000000007</v>
          </cell>
          <cell r="BF57">
            <v>70767.570000000007</v>
          </cell>
          <cell r="BG57">
            <v>70767.570000000007</v>
          </cell>
          <cell r="BH57">
            <v>70767.570000000007</v>
          </cell>
          <cell r="BI57">
            <v>70767.570000000007</v>
          </cell>
          <cell r="BJ57">
            <v>70767.570000000007</v>
          </cell>
          <cell r="BK57">
            <v>70767.570000000007</v>
          </cell>
          <cell r="BL57">
            <v>70767.570000000007</v>
          </cell>
          <cell r="BM57">
            <v>70767.570000000007</v>
          </cell>
          <cell r="BN57">
            <v>70767.570000000007</v>
          </cell>
          <cell r="BO57">
            <v>70767.570000000007</v>
          </cell>
          <cell r="BP57">
            <v>70767.570000000007</v>
          </cell>
          <cell r="BQ57">
            <v>70767.570000000007</v>
          </cell>
          <cell r="BR57">
            <v>70767.570000000007</v>
          </cell>
          <cell r="BS57">
            <v>70767.570000000007</v>
          </cell>
          <cell r="BT57">
            <v>70767.570000000007</v>
          </cell>
          <cell r="BU57">
            <v>70767.570000000007</v>
          </cell>
          <cell r="BV57">
            <v>70767.570000000007</v>
          </cell>
          <cell r="BW57">
            <v>70767.570000000007</v>
          </cell>
          <cell r="BX57">
            <v>70767.570000000007</v>
          </cell>
          <cell r="BY57">
            <v>70767.570000000007</v>
          </cell>
          <cell r="BZ57">
            <v>70767.570000000007</v>
          </cell>
          <cell r="CA57">
            <v>70767.570000000007</v>
          </cell>
          <cell r="CB57">
            <v>70767.570000000007</v>
          </cell>
          <cell r="CC57">
            <v>70767.570000000007</v>
          </cell>
          <cell r="CD57">
            <v>70767.570000000007</v>
          </cell>
          <cell r="CE57">
            <v>70767.570000000007</v>
          </cell>
          <cell r="CF57">
            <v>70767.570000000007</v>
          </cell>
          <cell r="CG57">
            <v>70767.570000000007</v>
          </cell>
          <cell r="CH57">
            <v>70767.570000000007</v>
          </cell>
          <cell r="CI57">
            <v>70767.570000000007</v>
          </cell>
          <cell r="CJ57">
            <v>70767.570000000007</v>
          </cell>
          <cell r="CK57">
            <v>70767.570000000007</v>
          </cell>
          <cell r="CL57">
            <v>70767.570000000007</v>
          </cell>
          <cell r="CM57">
            <v>70767.570000000007</v>
          </cell>
          <cell r="CN57">
            <v>70767.570000000007</v>
          </cell>
          <cell r="CO57">
            <v>70767.570000000007</v>
          </cell>
          <cell r="CP57">
            <v>70767.570000000007</v>
          </cell>
          <cell r="CQ57">
            <v>70767.570000000007</v>
          </cell>
          <cell r="CR57">
            <v>70767.570000000007</v>
          </cell>
          <cell r="CS57">
            <v>70767.570000000007</v>
          </cell>
          <cell r="CT57">
            <v>70767.570000000007</v>
          </cell>
          <cell r="CU57">
            <v>70767.570000000007</v>
          </cell>
          <cell r="CV57">
            <v>70767.570000000007</v>
          </cell>
          <cell r="CW57">
            <v>70767.570000000007</v>
          </cell>
          <cell r="CX57">
            <v>70767.570000000007</v>
          </cell>
          <cell r="CY57">
            <v>70767.570000000007</v>
          </cell>
          <cell r="CZ57">
            <v>70767.570000000007</v>
          </cell>
          <cell r="DA57">
            <v>70767.570000000007</v>
          </cell>
          <cell r="DB57">
            <v>70767.570000000007</v>
          </cell>
          <cell r="DC57">
            <v>70767.570000000007</v>
          </cell>
          <cell r="DD57">
            <v>70767.570000000007</v>
          </cell>
          <cell r="DE57">
            <v>70767.570000000007</v>
          </cell>
          <cell r="DF57">
            <v>70767.570000000007</v>
          </cell>
          <cell r="DG57">
            <v>70767.570000000007</v>
          </cell>
          <cell r="DH57">
            <v>70767.570000000007</v>
          </cell>
        </row>
        <row r="58">
          <cell r="A58" t="str">
            <v>1420540</v>
          </cell>
          <cell r="B58" t="str">
            <v>1420540</v>
          </cell>
          <cell r="C58" t="str">
            <v>AR CIS Leveliz Bill</v>
          </cell>
          <cell r="D58">
            <v>-23117.73</v>
          </cell>
          <cell r="E58">
            <v>29928.59</v>
          </cell>
          <cell r="F58">
            <v>91079.83</v>
          </cell>
          <cell r="G58">
            <v>109965.01</v>
          </cell>
          <cell r="H58">
            <v>112363.27</v>
          </cell>
          <cell r="I58">
            <v>96677.2</v>
          </cell>
          <cell r="J58">
            <v>78251.09</v>
          </cell>
          <cell r="K58">
            <v>56532.74</v>
          </cell>
          <cell r="L58">
            <v>32965.660000000003</v>
          </cell>
          <cell r="M58">
            <v>10532.9</v>
          </cell>
          <cell r="N58">
            <v>-10885.25</v>
          </cell>
          <cell r="O58">
            <v>-19932.900000000001</v>
          </cell>
          <cell r="P58">
            <v>2021.01</v>
          </cell>
          <cell r="Q58">
            <v>38223.129999999997</v>
          </cell>
          <cell r="R58">
            <v>80063.199999999997</v>
          </cell>
          <cell r="S58">
            <v>108079.05</v>
          </cell>
          <cell r="T58">
            <v>91099.77</v>
          </cell>
          <cell r="U58">
            <v>65397.68</v>
          </cell>
          <cell r="V58">
            <v>41150.94</v>
          </cell>
          <cell r="W58">
            <v>13704.1</v>
          </cell>
          <cell r="X58">
            <v>-12349.01</v>
          </cell>
          <cell r="Y58">
            <v>-38996.639999999999</v>
          </cell>
          <cell r="Z58">
            <v>-62015.61</v>
          </cell>
          <cell r="AA58">
            <v>-84519.34</v>
          </cell>
          <cell r="AB58">
            <v>-95784.65</v>
          </cell>
          <cell r="AC58">
            <v>-74276.789999999994</v>
          </cell>
          <cell r="AD58">
            <v>-26768.38</v>
          </cell>
          <cell r="AE58">
            <v>-5592.68</v>
          </cell>
          <cell r="AF58">
            <v>-7674.08</v>
          </cell>
          <cell r="AG58">
            <v>-15191.9</v>
          </cell>
          <cell r="AH58">
            <v>-27083.91</v>
          </cell>
          <cell r="AI58">
            <v>-42907.11</v>
          </cell>
          <cell r="AJ58">
            <v>-57591.67</v>
          </cell>
          <cell r="AK58">
            <v>-70843.039999999994</v>
          </cell>
          <cell r="AL58">
            <v>-82154</v>
          </cell>
          <cell r="AM58">
            <v>-87895.61</v>
          </cell>
          <cell r="AN58">
            <v>-82215.710000000006</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row>
        <row r="59">
          <cell r="A59" t="str">
            <v>1420600</v>
          </cell>
          <cell r="B59" t="str">
            <v>1420600</v>
          </cell>
          <cell r="C59" t="str">
            <v>AR OSS RECON</v>
          </cell>
          <cell r="D59">
            <v>-3.53</v>
          </cell>
          <cell r="E59">
            <v>0</v>
          </cell>
          <cell r="F59">
            <v>4755.1400000000003</v>
          </cell>
          <cell r="G59">
            <v>0</v>
          </cell>
          <cell r="H59">
            <v>72520</v>
          </cell>
          <cell r="I59">
            <v>0</v>
          </cell>
          <cell r="J59">
            <v>0</v>
          </cell>
          <cell r="K59">
            <v>0</v>
          </cell>
          <cell r="L59">
            <v>0</v>
          </cell>
          <cell r="M59">
            <v>562941.38</v>
          </cell>
          <cell r="N59">
            <v>290</v>
          </cell>
          <cell r="O59">
            <v>26161.74</v>
          </cell>
          <cell r="P59">
            <v>0</v>
          </cell>
          <cell r="Q59">
            <v>65790</v>
          </cell>
          <cell r="R59">
            <v>184000.01</v>
          </cell>
          <cell r="S59">
            <v>9987.8700000000008</v>
          </cell>
          <cell r="T59">
            <v>90486.1</v>
          </cell>
          <cell r="U59">
            <v>0.12</v>
          </cell>
          <cell r="V59">
            <v>138.78</v>
          </cell>
          <cell r="W59">
            <v>17898.38</v>
          </cell>
          <cell r="X59">
            <v>15471.5</v>
          </cell>
          <cell r="Y59">
            <v>49548.35</v>
          </cell>
          <cell r="Z59">
            <v>1920.12</v>
          </cell>
          <cell r="AA59">
            <v>1920.14</v>
          </cell>
          <cell r="AB59">
            <v>1943.17</v>
          </cell>
          <cell r="AC59">
            <v>1920.27</v>
          </cell>
          <cell r="AD59">
            <v>2505.77</v>
          </cell>
          <cell r="AE59">
            <v>4793.37</v>
          </cell>
          <cell r="AF59">
            <v>0.27</v>
          </cell>
          <cell r="AG59">
            <v>0.27</v>
          </cell>
          <cell r="AH59">
            <v>0.27</v>
          </cell>
          <cell r="AI59">
            <v>0.27</v>
          </cell>
          <cell r="AJ59">
            <v>41452.58</v>
          </cell>
          <cell r="AK59">
            <v>274.64999999999998</v>
          </cell>
          <cell r="AL59">
            <v>65322.09</v>
          </cell>
          <cell r="AM59">
            <v>0.3</v>
          </cell>
          <cell r="AN59">
            <v>0.3</v>
          </cell>
          <cell r="AO59">
            <v>328590.34999999998</v>
          </cell>
          <cell r="AP59">
            <v>27523.74</v>
          </cell>
          <cell r="AQ59">
            <v>0.3</v>
          </cell>
          <cell r="AR59">
            <v>0.3</v>
          </cell>
          <cell r="AS59">
            <v>1190968.8</v>
          </cell>
          <cell r="AT59">
            <v>0.16</v>
          </cell>
          <cell r="AU59">
            <v>211796.64</v>
          </cell>
          <cell r="AV59">
            <v>0.17</v>
          </cell>
          <cell r="AW59">
            <v>1032616.92</v>
          </cell>
          <cell r="AX59">
            <v>139745.32</v>
          </cell>
          <cell r="AY59">
            <v>783295.53</v>
          </cell>
          <cell r="AZ59">
            <v>62085.45</v>
          </cell>
          <cell r="BA59">
            <v>0.14000000000000001</v>
          </cell>
          <cell r="BB59">
            <v>1213.0899999999999</v>
          </cell>
          <cell r="BC59">
            <v>0</v>
          </cell>
          <cell r="BD59">
            <v>1183.5999999999999</v>
          </cell>
          <cell r="BE59">
            <v>0</v>
          </cell>
          <cell r="BF59">
            <v>0</v>
          </cell>
          <cell r="BG59">
            <v>0</v>
          </cell>
          <cell r="BH59">
            <v>114017.46</v>
          </cell>
          <cell r="BI59">
            <v>0</v>
          </cell>
          <cell r="BJ59">
            <v>0</v>
          </cell>
          <cell r="BK59">
            <v>102450</v>
          </cell>
          <cell r="BL59">
            <v>23750</v>
          </cell>
          <cell r="BM59">
            <v>440000</v>
          </cell>
          <cell r="BN59">
            <v>0</v>
          </cell>
          <cell r="BO59">
            <v>0</v>
          </cell>
          <cell r="BP59">
            <v>0</v>
          </cell>
          <cell r="BQ59">
            <v>0</v>
          </cell>
          <cell r="BR59">
            <v>0</v>
          </cell>
          <cell r="BS59">
            <v>0</v>
          </cell>
          <cell r="BT59">
            <v>89590</v>
          </cell>
          <cell r="BU59">
            <v>0</v>
          </cell>
          <cell r="BV59">
            <v>64575</v>
          </cell>
          <cell r="BW59">
            <v>0.01</v>
          </cell>
          <cell r="BX59">
            <v>0</v>
          </cell>
          <cell r="BY59">
            <v>2264304.36</v>
          </cell>
          <cell r="BZ59">
            <v>0.01</v>
          </cell>
          <cell r="CA59">
            <v>0</v>
          </cell>
          <cell r="CB59">
            <v>0</v>
          </cell>
          <cell r="CC59">
            <v>0</v>
          </cell>
          <cell r="CD59">
            <v>0</v>
          </cell>
          <cell r="CE59">
            <v>0</v>
          </cell>
          <cell r="CF59">
            <v>0.02</v>
          </cell>
          <cell r="CG59">
            <v>0</v>
          </cell>
          <cell r="CH59">
            <v>0</v>
          </cell>
          <cell r="CI59">
            <v>0</v>
          </cell>
          <cell r="CJ59">
            <v>0</v>
          </cell>
          <cell r="CK59">
            <v>0</v>
          </cell>
          <cell r="CL59">
            <v>0</v>
          </cell>
          <cell r="CM59">
            <v>32237.040000000001</v>
          </cell>
          <cell r="CN59">
            <v>0</v>
          </cell>
          <cell r="CO59">
            <v>684.06</v>
          </cell>
          <cell r="CP59">
            <v>0</v>
          </cell>
          <cell r="CQ59">
            <v>0</v>
          </cell>
          <cell r="CR59">
            <v>0</v>
          </cell>
          <cell r="CS59">
            <v>204155.14</v>
          </cell>
          <cell r="CT59">
            <v>204155.14</v>
          </cell>
          <cell r="CU59">
            <v>253907.98</v>
          </cell>
          <cell r="CV59">
            <v>0</v>
          </cell>
          <cell r="CW59">
            <v>0</v>
          </cell>
          <cell r="CX59">
            <v>0</v>
          </cell>
          <cell r="CY59">
            <v>0.02</v>
          </cell>
          <cell r="CZ59">
            <v>0.02</v>
          </cell>
          <cell r="DA59">
            <v>0.02</v>
          </cell>
          <cell r="DB59">
            <v>23026.92</v>
          </cell>
          <cell r="DC59">
            <v>0</v>
          </cell>
          <cell r="DD59">
            <v>6238.44</v>
          </cell>
          <cell r="DE59">
            <v>138738.04</v>
          </cell>
          <cell r="DF59">
            <v>9244.0499999999993</v>
          </cell>
          <cell r="DG59">
            <v>7739.17</v>
          </cell>
          <cell r="DH59">
            <v>7739.17</v>
          </cell>
        </row>
        <row r="60">
          <cell r="A60" t="str">
            <v>1420601</v>
          </cell>
          <cell r="B60" t="str">
            <v>1420601</v>
          </cell>
          <cell r="C60" t="str">
            <v>AR OSS Posting</v>
          </cell>
          <cell r="D60">
            <v>1151097.06</v>
          </cell>
          <cell r="E60">
            <v>3191986.66</v>
          </cell>
          <cell r="F60">
            <v>2178407.2999999998</v>
          </cell>
          <cell r="G60">
            <v>2270435</v>
          </cell>
          <cell r="H60">
            <v>5253425.95</v>
          </cell>
          <cell r="I60">
            <v>1883610.21</v>
          </cell>
          <cell r="J60">
            <v>1176115.3600000001</v>
          </cell>
          <cell r="K60">
            <v>3709294.66</v>
          </cell>
          <cell r="L60">
            <v>5924963.1600000001</v>
          </cell>
          <cell r="M60">
            <v>1170890.25</v>
          </cell>
          <cell r="N60">
            <v>3017292.35</v>
          </cell>
          <cell r="O60">
            <v>3080973.08</v>
          </cell>
          <cell r="P60">
            <v>2067738.76</v>
          </cell>
          <cell r="Q60">
            <v>3053747.31</v>
          </cell>
          <cell r="R60">
            <v>2975653.25</v>
          </cell>
          <cell r="S60">
            <v>1869718.57</v>
          </cell>
          <cell r="T60">
            <v>6082661.0499999998</v>
          </cell>
          <cell r="U60">
            <v>3525655.2</v>
          </cell>
          <cell r="V60">
            <v>4279807.0199999996</v>
          </cell>
          <cell r="W60">
            <v>2402261.14</v>
          </cell>
          <cell r="X60">
            <v>5125792.0599999996</v>
          </cell>
          <cell r="Y60">
            <v>4191578.34</v>
          </cell>
          <cell r="Z60">
            <v>4335537.4000000004</v>
          </cell>
          <cell r="AA60">
            <v>6512951.0800000001</v>
          </cell>
          <cell r="AB60">
            <v>2253798.31</v>
          </cell>
          <cell r="AC60">
            <v>3069509.29</v>
          </cell>
          <cell r="AD60">
            <v>2904974.37</v>
          </cell>
          <cell r="AE60">
            <v>3803744</v>
          </cell>
          <cell r="AF60">
            <v>5018376.1100000003</v>
          </cell>
          <cell r="AG60">
            <v>5177661.0999999996</v>
          </cell>
          <cell r="AH60">
            <v>6653040.3200000003</v>
          </cell>
          <cell r="AI60">
            <v>10779824.75</v>
          </cell>
          <cell r="AJ60">
            <v>9260621.1999999993</v>
          </cell>
          <cell r="AK60">
            <v>6999268.0300000003</v>
          </cell>
          <cell r="AL60">
            <v>8029251.1799999997</v>
          </cell>
          <cell r="AM60">
            <v>2717893.6</v>
          </cell>
          <cell r="AN60">
            <v>3363227.31</v>
          </cell>
          <cell r="AO60">
            <v>3796641.09</v>
          </cell>
          <cell r="AP60">
            <v>3614441.34</v>
          </cell>
          <cell r="AQ60">
            <v>2568021.61</v>
          </cell>
          <cell r="AR60">
            <v>5098656.41</v>
          </cell>
          <cell r="AS60">
            <v>4819269.18</v>
          </cell>
          <cell r="AT60">
            <v>4569270.62</v>
          </cell>
          <cell r="AU60">
            <v>6004250.2800000003</v>
          </cell>
          <cell r="AV60">
            <v>4221796.59</v>
          </cell>
          <cell r="AW60">
            <v>4422087.12</v>
          </cell>
          <cell r="AX60">
            <v>3687066.8</v>
          </cell>
          <cell r="AY60">
            <v>2594799</v>
          </cell>
          <cell r="AZ60">
            <v>4082935.15</v>
          </cell>
          <cell r="BA60">
            <v>5099773.99</v>
          </cell>
          <cell r="BB60">
            <v>2400995.42</v>
          </cell>
          <cell r="BC60">
            <v>1803712.03</v>
          </cell>
          <cell r="BD60">
            <v>3154301.15</v>
          </cell>
          <cell r="BE60">
            <v>3785072.36</v>
          </cell>
          <cell r="BF60">
            <v>4761823.41</v>
          </cell>
          <cell r="BG60">
            <v>7597477.7599999998</v>
          </cell>
          <cell r="BH60">
            <v>5356690.22</v>
          </cell>
          <cell r="BI60">
            <v>4923337.6900000004</v>
          </cell>
          <cell r="BJ60">
            <v>5710084.0499999998</v>
          </cell>
          <cell r="BK60">
            <v>2508493.1</v>
          </cell>
          <cell r="BL60">
            <v>3443743.14</v>
          </cell>
          <cell r="BM60">
            <v>3847388.49</v>
          </cell>
          <cell r="BN60">
            <v>2323705.79</v>
          </cell>
          <cell r="BO60">
            <v>1599108.11</v>
          </cell>
          <cell r="BP60">
            <v>3040663.06</v>
          </cell>
          <cell r="BQ60">
            <v>4606565.49</v>
          </cell>
          <cell r="BR60">
            <v>3379699.51</v>
          </cell>
          <cell r="BS60">
            <v>2900805.94</v>
          </cell>
          <cell r="BT60">
            <v>2902458.8</v>
          </cell>
          <cell r="BU60">
            <v>4184109.81</v>
          </cell>
          <cell r="BV60">
            <v>3514813.75</v>
          </cell>
          <cell r="BW60">
            <v>3159589.52</v>
          </cell>
          <cell r="BX60">
            <v>2264304.35</v>
          </cell>
          <cell r="BY60">
            <v>2611828.88</v>
          </cell>
          <cell r="BZ60">
            <v>2002312.12</v>
          </cell>
          <cell r="CA60">
            <v>2072057.08</v>
          </cell>
          <cell r="CB60">
            <v>2059955.3</v>
          </cell>
          <cell r="CC60">
            <v>1911048.47</v>
          </cell>
          <cell r="CD60">
            <v>2786815.94</v>
          </cell>
          <cell r="CE60">
            <v>2718366.71</v>
          </cell>
          <cell r="CF60">
            <v>1214795.58</v>
          </cell>
          <cell r="CG60">
            <v>1991150.76</v>
          </cell>
          <cell r="CH60">
            <v>1323104.93</v>
          </cell>
          <cell r="CI60">
            <v>1522218.8</v>
          </cell>
          <cell r="CJ60">
            <v>1877371.15</v>
          </cell>
          <cell r="CK60">
            <v>1686392.92</v>
          </cell>
          <cell r="CL60">
            <v>2827228.75</v>
          </cell>
          <cell r="CM60">
            <v>3401606.62</v>
          </cell>
          <cell r="CN60">
            <v>403721.09</v>
          </cell>
          <cell r="CO60">
            <v>1632845.09</v>
          </cell>
          <cell r="CP60">
            <v>1449632.95</v>
          </cell>
          <cell r="CQ60">
            <v>1372016.33</v>
          </cell>
          <cell r="CR60">
            <v>3080461.57</v>
          </cell>
          <cell r="CS60">
            <v>2487669.91</v>
          </cell>
          <cell r="CT60">
            <v>4343419.47</v>
          </cell>
          <cell r="CU60">
            <v>266766.17</v>
          </cell>
          <cell r="CV60">
            <v>63075</v>
          </cell>
          <cell r="CW60">
            <v>4376455.6399999997</v>
          </cell>
          <cell r="CX60">
            <v>3857570.56</v>
          </cell>
          <cell r="CY60">
            <v>4476962.04</v>
          </cell>
          <cell r="CZ60">
            <v>4003020.98</v>
          </cell>
          <cell r="DA60">
            <v>7434336.75</v>
          </cell>
          <cell r="DB60">
            <v>7346304.7699999996</v>
          </cell>
          <cell r="DC60">
            <v>11065216.449999999</v>
          </cell>
          <cell r="DD60">
            <v>9587066.2899999991</v>
          </cell>
          <cell r="DE60">
            <v>5609113.3499999996</v>
          </cell>
          <cell r="DF60">
            <v>3526303.71</v>
          </cell>
          <cell r="DG60">
            <v>3451887.59</v>
          </cell>
          <cell r="DH60">
            <v>4168444.97</v>
          </cell>
        </row>
        <row r="61">
          <cell r="A61" t="str">
            <v>1420800</v>
          </cell>
          <cell r="B61" t="str">
            <v>1420800</v>
          </cell>
          <cell r="C61" t="str">
            <v>AR Cust Oth RECON</v>
          </cell>
          <cell r="D61">
            <v>0</v>
          </cell>
          <cell r="E61">
            <v>0</v>
          </cell>
          <cell r="F61">
            <v>0</v>
          </cell>
          <cell r="G61">
            <v>0</v>
          </cell>
          <cell r="H61">
            <v>0</v>
          </cell>
          <cell r="I61">
            <v>0</v>
          </cell>
          <cell r="J61">
            <v>0</v>
          </cell>
          <cell r="K61">
            <v>0</v>
          </cell>
          <cell r="L61">
            <v>14106</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row>
        <row r="62">
          <cell r="A62" t="str">
            <v>1420801</v>
          </cell>
          <cell r="B62" t="str">
            <v>1420801</v>
          </cell>
          <cell r="C62" t="str">
            <v>AR Cust Oth Posting</v>
          </cell>
          <cell r="D62">
            <v>267747.86</v>
          </cell>
          <cell r="E62">
            <v>1115536.05</v>
          </cell>
          <cell r="F62">
            <v>476186.06</v>
          </cell>
          <cell r="G62">
            <v>689063.82</v>
          </cell>
          <cell r="H62">
            <v>633818.68000000005</v>
          </cell>
          <cell r="I62">
            <v>517006.79</v>
          </cell>
          <cell r="J62">
            <v>707749.75</v>
          </cell>
          <cell r="K62">
            <v>708963.97</v>
          </cell>
          <cell r="L62">
            <v>757630.27</v>
          </cell>
          <cell r="M62">
            <v>2119021.86</v>
          </cell>
          <cell r="N62">
            <v>301078.55</v>
          </cell>
          <cell r="O62">
            <v>350311.59</v>
          </cell>
          <cell r="P62">
            <v>0</v>
          </cell>
          <cell r="Q62">
            <v>254123.47</v>
          </cell>
          <cell r="R62">
            <v>194412.79999999999</v>
          </cell>
          <cell r="S62">
            <v>41450</v>
          </cell>
          <cell r="T62">
            <v>8472.1</v>
          </cell>
          <cell r="U62">
            <v>-193902</v>
          </cell>
          <cell r="V62">
            <v>0</v>
          </cell>
          <cell r="W62">
            <v>-2306671.56</v>
          </cell>
          <cell r="X62">
            <v>36000</v>
          </cell>
          <cell r="Y62">
            <v>0</v>
          </cell>
          <cell r="Z62">
            <v>42823.61</v>
          </cell>
          <cell r="AA62">
            <v>0</v>
          </cell>
          <cell r="AB62">
            <v>0</v>
          </cell>
          <cell r="AC62">
            <v>0</v>
          </cell>
          <cell r="AD62">
            <v>0</v>
          </cell>
          <cell r="AE62">
            <v>-122295.97</v>
          </cell>
          <cell r="AF62">
            <v>68976.89</v>
          </cell>
          <cell r="AG62">
            <v>0</v>
          </cell>
          <cell r="AH62">
            <v>56035.06</v>
          </cell>
          <cell r="AI62">
            <v>0</v>
          </cell>
          <cell r="AJ62">
            <v>0</v>
          </cell>
          <cell r="AK62">
            <v>0</v>
          </cell>
          <cell r="AL62">
            <v>0</v>
          </cell>
          <cell r="AM62">
            <v>97762.38</v>
          </cell>
          <cell r="AN62">
            <v>-164770.76</v>
          </cell>
          <cell r="AO62">
            <v>213450.99</v>
          </cell>
          <cell r="AP62">
            <v>0</v>
          </cell>
          <cell r="AQ62">
            <v>106698.62</v>
          </cell>
          <cell r="AR62">
            <v>128160.17</v>
          </cell>
          <cell r="AS62">
            <v>-125051.69</v>
          </cell>
          <cell r="AT62">
            <v>0</v>
          </cell>
          <cell r="AU62">
            <v>0</v>
          </cell>
          <cell r="AV62">
            <v>216654.49</v>
          </cell>
          <cell r="AW62">
            <v>1151309.26</v>
          </cell>
          <cell r="AX62">
            <v>0</v>
          </cell>
          <cell r="AY62">
            <v>-1289520</v>
          </cell>
          <cell r="AZ62">
            <v>166886</v>
          </cell>
          <cell r="BA62">
            <v>0</v>
          </cell>
          <cell r="BB62">
            <v>37165</v>
          </cell>
          <cell r="BC62">
            <v>0</v>
          </cell>
          <cell r="BD62">
            <v>0</v>
          </cell>
          <cell r="BE62">
            <v>0</v>
          </cell>
          <cell r="BF62">
            <v>0</v>
          </cell>
          <cell r="BG62">
            <v>0</v>
          </cell>
          <cell r="BH62">
            <v>0</v>
          </cell>
          <cell r="BI62">
            <v>0</v>
          </cell>
          <cell r="BJ62">
            <v>0</v>
          </cell>
          <cell r="BK62">
            <v>0</v>
          </cell>
          <cell r="BL62">
            <v>565989.18000000005</v>
          </cell>
          <cell r="BM62">
            <v>153620.01999999999</v>
          </cell>
          <cell r="BN62">
            <v>0</v>
          </cell>
          <cell r="BO62">
            <v>288214.15999999997</v>
          </cell>
          <cell r="BP62">
            <v>27342.41</v>
          </cell>
          <cell r="BQ62">
            <v>0</v>
          </cell>
          <cell r="BR62">
            <v>0</v>
          </cell>
          <cell r="BS62">
            <v>6642.94</v>
          </cell>
          <cell r="BT62">
            <v>157937.66</v>
          </cell>
          <cell r="BU62">
            <v>0</v>
          </cell>
          <cell r="BV62">
            <v>0</v>
          </cell>
          <cell r="BW62">
            <v>89156.4</v>
          </cell>
          <cell r="BX62">
            <v>0</v>
          </cell>
          <cell r="BY62">
            <v>22859.61</v>
          </cell>
          <cell r="BZ62">
            <v>0</v>
          </cell>
          <cell r="CA62">
            <v>191078.48</v>
          </cell>
          <cell r="CB62">
            <v>-621358.56999999995</v>
          </cell>
          <cell r="CC62">
            <v>-778496.31</v>
          </cell>
          <cell r="CD62">
            <v>-303015.43</v>
          </cell>
          <cell r="CE62">
            <v>-125092.8</v>
          </cell>
          <cell r="CF62">
            <v>239392.77</v>
          </cell>
          <cell r="CG62">
            <v>270825.21999999997</v>
          </cell>
          <cell r="CH62">
            <v>160798.62</v>
          </cell>
          <cell r="CI62">
            <v>-125092.8</v>
          </cell>
          <cell r="CJ62">
            <v>-125092.8</v>
          </cell>
          <cell r="CK62">
            <v>74375.070000000007</v>
          </cell>
          <cell r="CL62">
            <v>-125092.8</v>
          </cell>
          <cell r="CM62">
            <v>-254297.89</v>
          </cell>
          <cell r="CN62">
            <v>-468460.06</v>
          </cell>
          <cell r="CO62">
            <v>-87293.65</v>
          </cell>
          <cell r="CP62">
            <v>143819.51</v>
          </cell>
          <cell r="CQ62">
            <v>55165.29</v>
          </cell>
          <cell r="CR62">
            <v>-125092.8</v>
          </cell>
          <cell r="CS62">
            <v>71812.240000000005</v>
          </cell>
          <cell r="CT62">
            <v>-125092.8</v>
          </cell>
          <cell r="CU62">
            <v>-207474.65</v>
          </cell>
          <cell r="CV62">
            <v>-86064.18</v>
          </cell>
          <cell r="CW62">
            <v>-245273.8</v>
          </cell>
          <cell r="CX62">
            <v>-168421.95</v>
          </cell>
          <cell r="CY62">
            <v>37110.44</v>
          </cell>
          <cell r="CZ62">
            <v>-245273.8</v>
          </cell>
          <cell r="DA62">
            <v>-289788.79999999999</v>
          </cell>
          <cell r="DB62">
            <v>-149148.88</v>
          </cell>
          <cell r="DC62">
            <v>-289788.79999999999</v>
          </cell>
          <cell r="DD62">
            <v>-282153.90999999997</v>
          </cell>
          <cell r="DE62">
            <v>-289788.79999999999</v>
          </cell>
          <cell r="DF62">
            <v>-650874.78</v>
          </cell>
          <cell r="DG62">
            <v>-655812.69999999995</v>
          </cell>
          <cell r="DH62">
            <v>-839896.8</v>
          </cell>
        </row>
        <row r="63">
          <cell r="A63" t="str">
            <v>1430000</v>
          </cell>
          <cell r="B63" t="str">
            <v>1430000</v>
          </cell>
          <cell r="C63" t="str">
            <v>AR Oth RECON</v>
          </cell>
          <cell r="D63">
            <v>7939.23</v>
          </cell>
          <cell r="E63">
            <v>8150</v>
          </cell>
          <cell r="F63">
            <v>16080.47</v>
          </cell>
          <cell r="G63">
            <v>10930.47</v>
          </cell>
          <cell r="H63">
            <v>81915.509999999995</v>
          </cell>
          <cell r="I63">
            <v>61459.69</v>
          </cell>
          <cell r="J63">
            <v>111736.51</v>
          </cell>
          <cell r="K63">
            <v>206000</v>
          </cell>
          <cell r="L63">
            <v>0</v>
          </cell>
          <cell r="M63">
            <v>0</v>
          </cell>
          <cell r="N63">
            <v>0</v>
          </cell>
          <cell r="O63">
            <v>-0.01</v>
          </cell>
          <cell r="P63">
            <v>225947.49</v>
          </cell>
          <cell r="Q63">
            <v>283.83</v>
          </cell>
          <cell r="R63">
            <v>82373.25</v>
          </cell>
          <cell r="S63">
            <v>82373.25</v>
          </cell>
          <cell r="T63">
            <v>106777.34</v>
          </cell>
          <cell r="U63">
            <v>523342.05</v>
          </cell>
          <cell r="V63">
            <v>289677.90000000002</v>
          </cell>
          <cell r="W63">
            <v>1034648.51</v>
          </cell>
          <cell r="X63">
            <v>57030.9</v>
          </cell>
          <cell r="Y63">
            <v>57007.62</v>
          </cell>
          <cell r="Z63">
            <v>3.06</v>
          </cell>
          <cell r="AA63">
            <v>26288.29</v>
          </cell>
          <cell r="AB63">
            <v>207480.51</v>
          </cell>
          <cell r="AC63">
            <v>3003.06</v>
          </cell>
          <cell r="AD63">
            <v>377367.41</v>
          </cell>
          <cell r="AE63">
            <v>9481.98</v>
          </cell>
          <cell r="AF63">
            <v>25300.58</v>
          </cell>
          <cell r="AG63">
            <v>25869.599999999999</v>
          </cell>
          <cell r="AH63">
            <v>25540.28</v>
          </cell>
          <cell r="AI63">
            <v>25727.18</v>
          </cell>
          <cell r="AJ63">
            <v>50014.080000000002</v>
          </cell>
          <cell r="AK63">
            <v>812757.77</v>
          </cell>
          <cell r="AL63">
            <v>3.05</v>
          </cell>
          <cell r="AM63">
            <v>3436.01</v>
          </cell>
          <cell r="AN63">
            <v>551269.44999999995</v>
          </cell>
          <cell r="AO63">
            <v>374406.1</v>
          </cell>
          <cell r="AP63">
            <v>389188.18</v>
          </cell>
          <cell r="AQ63">
            <v>593794.15</v>
          </cell>
          <cell r="AR63">
            <v>393509.58</v>
          </cell>
          <cell r="AS63">
            <v>843081.78</v>
          </cell>
          <cell r="AT63">
            <v>710676.47</v>
          </cell>
          <cell r="AU63">
            <v>375071.52</v>
          </cell>
          <cell r="AV63">
            <v>209135.1</v>
          </cell>
          <cell r="AW63">
            <v>272974.03000000003</v>
          </cell>
          <cell r="AX63">
            <v>292860.24</v>
          </cell>
          <cell r="AY63">
            <v>271676.59999999998</v>
          </cell>
          <cell r="AZ63">
            <v>477030.26</v>
          </cell>
          <cell r="BA63">
            <v>516880.91</v>
          </cell>
          <cell r="BB63">
            <v>504318.3</v>
          </cell>
          <cell r="BC63">
            <v>501189.36</v>
          </cell>
          <cell r="BD63">
            <v>463753.56</v>
          </cell>
          <cell r="BE63">
            <v>904101.81</v>
          </cell>
          <cell r="BF63">
            <v>714695.42</v>
          </cell>
          <cell r="BG63">
            <v>494385.15</v>
          </cell>
          <cell r="BH63">
            <v>675375.86</v>
          </cell>
          <cell r="BI63">
            <v>558758.55000000005</v>
          </cell>
          <cell r="BJ63">
            <v>527470.03</v>
          </cell>
          <cell r="BK63">
            <v>320514</v>
          </cell>
          <cell r="BL63">
            <v>491952.51</v>
          </cell>
          <cell r="BM63">
            <v>425527.64</v>
          </cell>
          <cell r="BN63">
            <v>433281.63</v>
          </cell>
          <cell r="BO63">
            <v>290075.3</v>
          </cell>
          <cell r="BP63">
            <v>203374.92</v>
          </cell>
          <cell r="BQ63">
            <v>248074.43</v>
          </cell>
          <cell r="BR63">
            <v>256256.13</v>
          </cell>
          <cell r="BS63">
            <v>369516.63</v>
          </cell>
          <cell r="BT63">
            <v>427656.21</v>
          </cell>
          <cell r="BU63">
            <v>418163.8</v>
          </cell>
          <cell r="BV63">
            <v>315644.86</v>
          </cell>
          <cell r="BW63">
            <v>336136.26</v>
          </cell>
          <cell r="BX63">
            <v>443107.56</v>
          </cell>
          <cell r="BY63">
            <v>357136.08</v>
          </cell>
          <cell r="BZ63">
            <v>452092.83</v>
          </cell>
          <cell r="CA63">
            <v>540410.53</v>
          </cell>
          <cell r="CB63">
            <v>900022.81</v>
          </cell>
          <cell r="CC63">
            <v>1112734.3999999999</v>
          </cell>
          <cell r="CD63">
            <v>1321395.8700000001</v>
          </cell>
          <cell r="CE63">
            <v>1390257.3</v>
          </cell>
          <cell r="CF63">
            <v>1091451.3999999999</v>
          </cell>
          <cell r="CG63">
            <v>960964.18</v>
          </cell>
          <cell r="CH63">
            <v>404926.51</v>
          </cell>
          <cell r="CI63">
            <v>1294587.23</v>
          </cell>
          <cell r="CJ63">
            <v>554946.28</v>
          </cell>
          <cell r="CK63">
            <v>248299.51999999999</v>
          </cell>
          <cell r="CL63">
            <v>361288.86</v>
          </cell>
          <cell r="CM63">
            <v>301708.06</v>
          </cell>
          <cell r="CN63">
            <v>458931.16</v>
          </cell>
          <cell r="CO63">
            <v>467302.42</v>
          </cell>
          <cell r="CP63">
            <v>433028.72</v>
          </cell>
          <cell r="CQ63">
            <v>555540.31999999995</v>
          </cell>
          <cell r="CR63">
            <v>648716.28</v>
          </cell>
          <cell r="CS63">
            <v>791257.27</v>
          </cell>
          <cell r="CT63">
            <v>581431.06999999995</v>
          </cell>
          <cell r="CU63">
            <v>602500.39</v>
          </cell>
          <cell r="CV63">
            <v>699436.52</v>
          </cell>
          <cell r="CW63">
            <v>518987.18</v>
          </cell>
          <cell r="CX63">
            <v>828719.17</v>
          </cell>
          <cell r="CY63">
            <v>636530.1</v>
          </cell>
          <cell r="CZ63">
            <v>657934.09</v>
          </cell>
          <cell r="DA63">
            <v>738189.17</v>
          </cell>
          <cell r="DB63">
            <v>819046</v>
          </cell>
          <cell r="DC63">
            <v>3209518.53</v>
          </cell>
          <cell r="DD63">
            <v>895340.83</v>
          </cell>
          <cell r="DE63">
            <v>1025464.89</v>
          </cell>
          <cell r="DF63">
            <v>1653987.94</v>
          </cell>
          <cell r="DG63">
            <v>1593962.63</v>
          </cell>
          <cell r="DH63">
            <v>839094.76</v>
          </cell>
        </row>
        <row r="64">
          <cell r="A64" t="str">
            <v>1430001</v>
          </cell>
          <cell r="B64" t="str">
            <v>1430001</v>
          </cell>
          <cell r="C64" t="str">
            <v>AR Oth Posting</v>
          </cell>
          <cell r="D64">
            <v>0</v>
          </cell>
          <cell r="E64">
            <v>0</v>
          </cell>
          <cell r="F64">
            <v>0</v>
          </cell>
          <cell r="G64">
            <v>19423.330000000002</v>
          </cell>
          <cell r="H64">
            <v>0</v>
          </cell>
          <cell r="I64">
            <v>0</v>
          </cell>
          <cell r="J64">
            <v>-95477.23</v>
          </cell>
          <cell r="K64">
            <v>0</v>
          </cell>
          <cell r="L64">
            <v>0</v>
          </cell>
          <cell r="M64">
            <v>30921.88</v>
          </cell>
          <cell r="N64">
            <v>0</v>
          </cell>
          <cell r="O64">
            <v>0</v>
          </cell>
          <cell r="P64">
            <v>0</v>
          </cell>
          <cell r="Q64">
            <v>0</v>
          </cell>
          <cell r="R64">
            <v>0</v>
          </cell>
          <cell r="S64">
            <v>-34052.35</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60000</v>
          </cell>
          <cell r="AI64">
            <v>60000</v>
          </cell>
          <cell r="AJ64">
            <v>60000</v>
          </cell>
          <cell r="AK64">
            <v>60000</v>
          </cell>
          <cell r="AL64">
            <v>60000</v>
          </cell>
          <cell r="AM64">
            <v>60000</v>
          </cell>
          <cell r="AN64">
            <v>60000</v>
          </cell>
          <cell r="AO64">
            <v>-268590.05</v>
          </cell>
          <cell r="AP64">
            <v>-1823.74</v>
          </cell>
          <cell r="AQ64">
            <v>60000</v>
          </cell>
          <cell r="AR64">
            <v>60000</v>
          </cell>
          <cell r="AS64">
            <v>60000</v>
          </cell>
          <cell r="AT64">
            <v>60000</v>
          </cell>
          <cell r="AU64">
            <v>60000</v>
          </cell>
          <cell r="AV64">
            <v>60000</v>
          </cell>
          <cell r="AW64">
            <v>52881.599999999999</v>
          </cell>
          <cell r="AX64">
            <v>52922</v>
          </cell>
          <cell r="AY64">
            <v>32922</v>
          </cell>
          <cell r="AZ64">
            <v>122097.04</v>
          </cell>
          <cell r="BA64">
            <v>32922</v>
          </cell>
          <cell r="BB64">
            <v>19502.88</v>
          </cell>
          <cell r="BC64">
            <v>12922</v>
          </cell>
          <cell r="BD64">
            <v>12922</v>
          </cell>
          <cell r="BE64">
            <v>12922</v>
          </cell>
          <cell r="BF64">
            <v>12922</v>
          </cell>
          <cell r="BG64">
            <v>12922</v>
          </cell>
          <cell r="BH64">
            <v>12922</v>
          </cell>
          <cell r="BI64">
            <v>12922</v>
          </cell>
          <cell r="BJ64">
            <v>12922</v>
          </cell>
          <cell r="BK64">
            <v>-7078</v>
          </cell>
          <cell r="BL64">
            <v>-130017.43</v>
          </cell>
          <cell r="BM64">
            <v>14844.81</v>
          </cell>
          <cell r="BN64">
            <v>14844.81</v>
          </cell>
          <cell r="BO64">
            <v>-7078</v>
          </cell>
          <cell r="BP64">
            <v>-7078</v>
          </cell>
          <cell r="BQ64">
            <v>30721.15</v>
          </cell>
          <cell r="BR64">
            <v>129979.45</v>
          </cell>
          <cell r="BS64">
            <v>92180.3</v>
          </cell>
          <cell r="BT64">
            <v>-7078</v>
          </cell>
          <cell r="BU64">
            <v>-7078</v>
          </cell>
          <cell r="BV64">
            <v>-7078</v>
          </cell>
          <cell r="BW64">
            <v>30721.15</v>
          </cell>
          <cell r="BX64">
            <v>25733.15</v>
          </cell>
          <cell r="BY64">
            <v>-11053</v>
          </cell>
          <cell r="BZ64">
            <v>-42006.17</v>
          </cell>
          <cell r="CA64">
            <v>197095.09</v>
          </cell>
          <cell r="CB64">
            <v>24308.97</v>
          </cell>
          <cell r="CC64">
            <v>-11353</v>
          </cell>
          <cell r="CD64">
            <v>-11353</v>
          </cell>
          <cell r="CE64">
            <v>-11353</v>
          </cell>
          <cell r="CF64">
            <v>-11353</v>
          </cell>
          <cell r="CG64">
            <v>-11353</v>
          </cell>
          <cell r="CH64">
            <v>-24162</v>
          </cell>
          <cell r="CI64">
            <v>13637.15</v>
          </cell>
          <cell r="CJ64">
            <v>13637.15</v>
          </cell>
          <cell r="CK64">
            <v>-7501.93</v>
          </cell>
          <cell r="CL64">
            <v>-7078</v>
          </cell>
          <cell r="CM64">
            <v>-7078</v>
          </cell>
          <cell r="CN64">
            <v>-7078</v>
          </cell>
          <cell r="CO64">
            <v>-7078</v>
          </cell>
          <cell r="CP64">
            <v>-7078</v>
          </cell>
          <cell r="CQ64">
            <v>-7078</v>
          </cell>
          <cell r="CR64">
            <v>-7078</v>
          </cell>
          <cell r="CS64">
            <v>-7078</v>
          </cell>
          <cell r="CT64">
            <v>-7078</v>
          </cell>
          <cell r="CU64">
            <v>0</v>
          </cell>
          <cell r="CV64">
            <v>0</v>
          </cell>
          <cell r="CW64">
            <v>0</v>
          </cell>
          <cell r="CX64">
            <v>0</v>
          </cell>
          <cell r="CY64">
            <v>0</v>
          </cell>
          <cell r="CZ64">
            <v>0</v>
          </cell>
          <cell r="DA64">
            <v>0</v>
          </cell>
          <cell r="DB64">
            <v>973057.51</v>
          </cell>
          <cell r="DC64">
            <v>580764.18000000005</v>
          </cell>
          <cell r="DD64">
            <v>-150</v>
          </cell>
          <cell r="DE64">
            <v>1295461.94</v>
          </cell>
          <cell r="DF64">
            <v>-3583</v>
          </cell>
          <cell r="DG64">
            <v>1021679.87</v>
          </cell>
          <cell r="DH64">
            <v>551964.82999999996</v>
          </cell>
        </row>
        <row r="65">
          <cell r="A65">
            <v>1430005</v>
          </cell>
          <cell r="B65">
            <v>1430005</v>
          </cell>
          <cell r="C65" t="str">
            <v>AR Vendor Adv Pymt</v>
          </cell>
          <cell r="CY65">
            <v>0</v>
          </cell>
          <cell r="CZ65">
            <v>0</v>
          </cell>
          <cell r="DA65">
            <v>0</v>
          </cell>
          <cell r="DB65">
            <v>0</v>
          </cell>
          <cell r="DC65">
            <v>0</v>
          </cell>
          <cell r="DD65">
            <v>0</v>
          </cell>
          <cell r="DE65">
            <v>0</v>
          </cell>
          <cell r="DF65">
            <v>0</v>
          </cell>
          <cell r="DG65">
            <v>122926.35</v>
          </cell>
          <cell r="DH65">
            <v>122926.35</v>
          </cell>
        </row>
        <row r="66">
          <cell r="A66" t="str">
            <v>1430030</v>
          </cell>
          <cell r="B66" t="str">
            <v>1430030</v>
          </cell>
          <cell r="C66" t="str">
            <v>AR Employee Advance</v>
          </cell>
          <cell r="D66">
            <v>0</v>
          </cell>
          <cell r="E66">
            <v>0</v>
          </cell>
          <cell r="F66">
            <v>0</v>
          </cell>
          <cell r="G66">
            <v>300</v>
          </cell>
          <cell r="H66">
            <v>300</v>
          </cell>
          <cell r="I66">
            <v>300</v>
          </cell>
          <cell r="J66">
            <v>300</v>
          </cell>
          <cell r="K66">
            <v>300</v>
          </cell>
          <cell r="L66">
            <v>300</v>
          </cell>
          <cell r="M66">
            <v>300</v>
          </cell>
          <cell r="N66">
            <v>300</v>
          </cell>
          <cell r="O66">
            <v>300</v>
          </cell>
          <cell r="P66">
            <v>300</v>
          </cell>
          <cell r="Q66">
            <v>300</v>
          </cell>
          <cell r="R66">
            <v>300</v>
          </cell>
          <cell r="S66">
            <v>300</v>
          </cell>
          <cell r="T66">
            <v>300</v>
          </cell>
          <cell r="U66">
            <v>300</v>
          </cell>
          <cell r="V66">
            <v>300</v>
          </cell>
          <cell r="W66">
            <v>300</v>
          </cell>
          <cell r="X66">
            <v>300</v>
          </cell>
          <cell r="Y66">
            <v>300</v>
          </cell>
          <cell r="Z66">
            <v>300</v>
          </cell>
          <cell r="AA66">
            <v>300</v>
          </cell>
          <cell r="AB66">
            <v>300</v>
          </cell>
          <cell r="AC66">
            <v>300</v>
          </cell>
          <cell r="AD66">
            <v>300</v>
          </cell>
          <cell r="AE66">
            <v>300</v>
          </cell>
          <cell r="AF66">
            <v>300</v>
          </cell>
          <cell r="AG66">
            <v>300</v>
          </cell>
          <cell r="AH66">
            <v>300</v>
          </cell>
          <cell r="AI66">
            <v>300</v>
          </cell>
          <cell r="AJ66">
            <v>300</v>
          </cell>
          <cell r="AK66">
            <v>300</v>
          </cell>
          <cell r="AL66">
            <v>300</v>
          </cell>
          <cell r="AM66">
            <v>300</v>
          </cell>
          <cell r="AN66">
            <v>300</v>
          </cell>
          <cell r="AO66">
            <v>300</v>
          </cell>
          <cell r="AP66">
            <v>300</v>
          </cell>
          <cell r="AQ66">
            <v>300</v>
          </cell>
          <cell r="AR66">
            <v>300</v>
          </cell>
          <cell r="AS66">
            <v>300</v>
          </cell>
          <cell r="AT66">
            <v>550</v>
          </cell>
          <cell r="AU66">
            <v>300</v>
          </cell>
          <cell r="AV66">
            <v>300</v>
          </cell>
          <cell r="AW66">
            <v>300</v>
          </cell>
          <cell r="AX66">
            <v>300</v>
          </cell>
          <cell r="AY66">
            <v>-17.78</v>
          </cell>
          <cell r="AZ66">
            <v>1709.44</v>
          </cell>
          <cell r="BA66">
            <v>1391.66</v>
          </cell>
          <cell r="BB66">
            <v>1073.8900000000001</v>
          </cell>
          <cell r="BC66">
            <v>597.25</v>
          </cell>
          <cell r="BD66">
            <v>279.49</v>
          </cell>
          <cell r="BE66">
            <v>279.49</v>
          </cell>
          <cell r="BF66">
            <v>279.49</v>
          </cell>
          <cell r="BG66">
            <v>279.49</v>
          </cell>
          <cell r="BH66">
            <v>279.49</v>
          </cell>
          <cell r="BI66">
            <v>279.49</v>
          </cell>
          <cell r="BJ66">
            <v>279.49</v>
          </cell>
          <cell r="BK66">
            <v>279.49</v>
          </cell>
          <cell r="BL66">
            <v>279.49</v>
          </cell>
          <cell r="BM66">
            <v>279.49</v>
          </cell>
          <cell r="BN66">
            <v>279.49</v>
          </cell>
          <cell r="BO66">
            <v>279.49</v>
          </cell>
          <cell r="BP66">
            <v>279.49</v>
          </cell>
          <cell r="BQ66">
            <v>279.49</v>
          </cell>
          <cell r="BR66">
            <v>734.57</v>
          </cell>
          <cell r="BS66">
            <v>734.57</v>
          </cell>
          <cell r="BT66">
            <v>734.57</v>
          </cell>
          <cell r="BU66">
            <v>734.57</v>
          </cell>
          <cell r="BV66">
            <v>734.57</v>
          </cell>
          <cell r="BW66">
            <v>734.57</v>
          </cell>
          <cell r="BX66">
            <v>734.57</v>
          </cell>
          <cell r="BY66">
            <v>734.57</v>
          </cell>
          <cell r="BZ66">
            <v>734.57</v>
          </cell>
          <cell r="CA66">
            <v>734.57</v>
          </cell>
          <cell r="CB66">
            <v>734.57</v>
          </cell>
          <cell r="CC66">
            <v>734.57</v>
          </cell>
          <cell r="CD66">
            <v>0</v>
          </cell>
          <cell r="CE66">
            <v>0</v>
          </cell>
          <cell r="CF66">
            <v>0</v>
          </cell>
          <cell r="CG66">
            <v>34.729999999999997</v>
          </cell>
          <cell r="CH66">
            <v>0</v>
          </cell>
          <cell r="CI66">
            <v>0</v>
          </cell>
          <cell r="CJ66">
            <v>4911.8599999999997</v>
          </cell>
          <cell r="CK66">
            <v>4911.8599999999997</v>
          </cell>
          <cell r="CL66">
            <v>4911.8599999999997</v>
          </cell>
          <cell r="CM66">
            <v>4911.8599999999997</v>
          </cell>
          <cell r="CN66">
            <v>4911.8599999999997</v>
          </cell>
          <cell r="CO66">
            <v>4911.8599999999997</v>
          </cell>
          <cell r="CP66">
            <v>4911.8599999999997</v>
          </cell>
          <cell r="CQ66">
            <v>4911.8599999999997</v>
          </cell>
          <cell r="CR66">
            <v>5218.12</v>
          </cell>
          <cell r="CS66">
            <v>5218.12</v>
          </cell>
          <cell r="CT66">
            <v>5218.12</v>
          </cell>
          <cell r="CU66">
            <v>5218.12</v>
          </cell>
          <cell r="CV66">
            <v>5218.12</v>
          </cell>
          <cell r="CW66">
            <v>5218.12</v>
          </cell>
          <cell r="CX66">
            <v>5218.12</v>
          </cell>
          <cell r="CY66">
            <v>5218.12</v>
          </cell>
          <cell r="CZ66">
            <v>5218.12</v>
          </cell>
          <cell r="DA66">
            <v>5218.12</v>
          </cell>
          <cell r="DB66">
            <v>5218.12</v>
          </cell>
          <cell r="DC66">
            <v>5218.12</v>
          </cell>
          <cell r="DD66">
            <v>5218.12</v>
          </cell>
          <cell r="DE66">
            <v>5218.12</v>
          </cell>
          <cell r="DF66">
            <v>5218.12</v>
          </cell>
          <cell r="DG66">
            <v>5218.12</v>
          </cell>
          <cell r="DH66">
            <v>5218.12</v>
          </cell>
        </row>
        <row r="67">
          <cell r="A67">
            <v>1430036</v>
          </cell>
          <cell r="B67">
            <v>1430036</v>
          </cell>
          <cell r="C67" t="str">
            <v>AR - Employee Personal Reimbursement Pcard Charge</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550933</v>
          </cell>
          <cell r="CG67">
            <v>1385701</v>
          </cell>
          <cell r="CH67">
            <v>48</v>
          </cell>
          <cell r="CI67">
            <v>48</v>
          </cell>
          <cell r="CJ67">
            <v>93.81</v>
          </cell>
          <cell r="CK67">
            <v>93.81</v>
          </cell>
          <cell r="CL67">
            <v>93.81</v>
          </cell>
          <cell r="CM67">
            <v>182.82</v>
          </cell>
          <cell r="CN67">
            <v>208.49</v>
          </cell>
          <cell r="CO67">
            <v>243.57</v>
          </cell>
          <cell r="CP67">
            <v>243.57</v>
          </cell>
          <cell r="CQ67">
            <v>243.57</v>
          </cell>
          <cell r="CR67">
            <v>243.57</v>
          </cell>
          <cell r="CS67">
            <v>188.55</v>
          </cell>
          <cell r="CT67">
            <v>188.55</v>
          </cell>
          <cell r="CU67">
            <v>188.55</v>
          </cell>
          <cell r="CV67">
            <v>188.55</v>
          </cell>
          <cell r="CW67">
            <v>188.55</v>
          </cell>
          <cell r="CX67">
            <v>188.55</v>
          </cell>
          <cell r="CY67">
            <v>188.55</v>
          </cell>
          <cell r="CZ67">
            <v>188.55</v>
          </cell>
          <cell r="DA67">
            <v>188.55</v>
          </cell>
          <cell r="DB67">
            <v>188.55</v>
          </cell>
          <cell r="DC67">
            <v>188.55</v>
          </cell>
          <cell r="DD67">
            <v>188.55</v>
          </cell>
          <cell r="DE67">
            <v>188.55</v>
          </cell>
          <cell r="DF67">
            <v>188.55</v>
          </cell>
          <cell r="DG67">
            <v>188.55</v>
          </cell>
          <cell r="DH67">
            <v>188.55</v>
          </cell>
        </row>
        <row r="68">
          <cell r="A68" t="str">
            <v>1430040</v>
          </cell>
          <cell r="B68" t="str">
            <v>1430040</v>
          </cell>
          <cell r="C68" t="str">
            <v>AR Oth CRM RECON</v>
          </cell>
          <cell r="AO68">
            <v>6281501.0599999996</v>
          </cell>
          <cell r="AP68">
            <v>6084358.3899999997</v>
          </cell>
          <cell r="AQ68">
            <v>5842368.4400000004</v>
          </cell>
          <cell r="AR68">
            <v>5641895.1399999997</v>
          </cell>
          <cell r="AS68">
            <v>5415338.29</v>
          </cell>
          <cell r="AT68">
            <v>5198265.75</v>
          </cell>
          <cell r="AU68">
            <v>4989805.97</v>
          </cell>
          <cell r="AV68">
            <v>4769650.97</v>
          </cell>
          <cell r="AW68">
            <v>4605679.53</v>
          </cell>
          <cell r="AX68">
            <v>4411520.0599999996</v>
          </cell>
          <cell r="AY68">
            <v>4240233.17</v>
          </cell>
          <cell r="AZ68">
            <v>4082767.85</v>
          </cell>
          <cell r="BA68">
            <v>3910268.1</v>
          </cell>
          <cell r="BB68">
            <v>3754436.35</v>
          </cell>
          <cell r="BC68">
            <v>3591401.74</v>
          </cell>
          <cell r="BD68">
            <v>3436949.22</v>
          </cell>
          <cell r="BE68">
            <v>3278923.67</v>
          </cell>
          <cell r="BF68">
            <v>3129316.36</v>
          </cell>
          <cell r="BG68">
            <v>2978680.45</v>
          </cell>
          <cell r="BH68">
            <v>2822342.85</v>
          </cell>
          <cell r="BI68">
            <v>2708113.74</v>
          </cell>
          <cell r="BJ68">
            <v>2566235.42</v>
          </cell>
          <cell r="BK68">
            <v>2437176.2799999998</v>
          </cell>
          <cell r="BL68">
            <v>2314149.33</v>
          </cell>
          <cell r="BM68">
            <v>2191151.0499999998</v>
          </cell>
          <cell r="BN68">
            <v>2079141.37</v>
          </cell>
          <cell r="BO68">
            <v>1960043.42</v>
          </cell>
          <cell r="BP68">
            <v>1840549.68</v>
          </cell>
          <cell r="BQ68">
            <v>1725672.34</v>
          </cell>
          <cell r="BR68">
            <v>1624348.79</v>
          </cell>
          <cell r="BS68">
            <v>1461832.14</v>
          </cell>
          <cell r="BT68">
            <v>1349870.07</v>
          </cell>
          <cell r="BU68">
            <v>1257472.1499999999</v>
          </cell>
          <cell r="BV68">
            <v>1157823.6100000001</v>
          </cell>
          <cell r="BW68">
            <v>1073763.3600000001</v>
          </cell>
          <cell r="BX68">
            <v>982667.57</v>
          </cell>
          <cell r="BY68">
            <v>900464.47</v>
          </cell>
          <cell r="BZ68">
            <v>824061.04</v>
          </cell>
          <cell r="CA68">
            <v>747257.39</v>
          </cell>
          <cell r="CB68">
            <v>678652.55</v>
          </cell>
          <cell r="CC68">
            <v>615987.97</v>
          </cell>
          <cell r="CD68">
            <v>551919.27</v>
          </cell>
          <cell r="CE68">
            <v>492128.34</v>
          </cell>
          <cell r="CF68">
            <v>439643.19</v>
          </cell>
          <cell r="CG68">
            <v>389027.24</v>
          </cell>
          <cell r="CH68">
            <v>337021.94</v>
          </cell>
          <cell r="CI68">
            <v>294453.58</v>
          </cell>
          <cell r="CJ68">
            <v>252442.48</v>
          </cell>
          <cell r="CK68">
            <v>217554.56</v>
          </cell>
          <cell r="CL68">
            <v>185014.27</v>
          </cell>
          <cell r="CM68">
            <v>153448.82999999999</v>
          </cell>
          <cell r="CN68">
            <v>127608.53</v>
          </cell>
          <cell r="CO68">
            <v>106976.04</v>
          </cell>
          <cell r="CP68">
            <v>84478.73</v>
          </cell>
          <cell r="CQ68">
            <v>64409.41</v>
          </cell>
          <cell r="CR68">
            <v>48295.53</v>
          </cell>
          <cell r="CS68">
            <v>36164.25</v>
          </cell>
          <cell r="CT68">
            <v>27817.69</v>
          </cell>
          <cell r="CU68">
            <v>21667.17</v>
          </cell>
          <cell r="CV68">
            <v>18394.61</v>
          </cell>
          <cell r="CW68">
            <v>14769.01</v>
          </cell>
          <cell r="CX68">
            <v>9491.7199999999993</v>
          </cell>
          <cell r="CY68">
            <v>8990.2900000000009</v>
          </cell>
          <cell r="CZ68">
            <v>8832.27</v>
          </cell>
          <cell r="DA68">
            <v>10109.49</v>
          </cell>
          <cell r="DB68">
            <v>9834.74</v>
          </cell>
          <cell r="DC68">
            <v>10176.56</v>
          </cell>
          <cell r="DD68">
            <v>9992.99</v>
          </cell>
          <cell r="DE68">
            <v>9558.3700000000008</v>
          </cell>
          <cell r="DF68">
            <v>9406.99</v>
          </cell>
          <cell r="DG68">
            <v>9172.2000000000007</v>
          </cell>
          <cell r="DH68">
            <v>9094.77</v>
          </cell>
        </row>
        <row r="69">
          <cell r="A69" t="str">
            <v>1430300</v>
          </cell>
          <cell r="B69" t="str">
            <v>1430300</v>
          </cell>
          <cell r="C69" t="str">
            <v>AR Inc Tax Rec Fed</v>
          </cell>
          <cell r="D69">
            <v>964325.18</v>
          </cell>
          <cell r="E69">
            <v>0</v>
          </cell>
          <cell r="F69">
            <v>0</v>
          </cell>
          <cell r="G69">
            <v>0</v>
          </cell>
          <cell r="H69">
            <v>0</v>
          </cell>
          <cell r="I69">
            <v>0</v>
          </cell>
          <cell r="J69">
            <v>0</v>
          </cell>
          <cell r="K69">
            <v>0</v>
          </cell>
          <cell r="L69">
            <v>0</v>
          </cell>
          <cell r="M69">
            <v>0</v>
          </cell>
          <cell r="N69">
            <v>0</v>
          </cell>
          <cell r="O69">
            <v>0</v>
          </cell>
          <cell r="P69">
            <v>9712348.9600000009</v>
          </cell>
          <cell r="Q69">
            <v>0</v>
          </cell>
          <cell r="R69">
            <v>0</v>
          </cell>
          <cell r="S69">
            <v>0</v>
          </cell>
          <cell r="T69">
            <v>0</v>
          </cell>
          <cell r="U69">
            <v>0</v>
          </cell>
          <cell r="V69">
            <v>0</v>
          </cell>
          <cell r="W69">
            <v>0</v>
          </cell>
          <cell r="X69">
            <v>0</v>
          </cell>
          <cell r="Y69">
            <v>0</v>
          </cell>
          <cell r="Z69">
            <v>0</v>
          </cell>
          <cell r="AA69">
            <v>0</v>
          </cell>
          <cell r="AB69">
            <v>13507098.35</v>
          </cell>
          <cell r="AC69">
            <v>0</v>
          </cell>
          <cell r="AD69">
            <v>0</v>
          </cell>
          <cell r="AE69">
            <v>0</v>
          </cell>
          <cell r="AF69">
            <v>0</v>
          </cell>
          <cell r="AG69">
            <v>0</v>
          </cell>
          <cell r="AH69">
            <v>0</v>
          </cell>
          <cell r="AI69">
            <v>0</v>
          </cell>
          <cell r="AJ69">
            <v>0</v>
          </cell>
          <cell r="AK69">
            <v>0</v>
          </cell>
          <cell r="AL69">
            <v>0</v>
          </cell>
          <cell r="AM69">
            <v>0</v>
          </cell>
          <cell r="AN69">
            <v>963997.02</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208003.27</v>
          </cell>
          <cell r="BY69">
            <v>208003.27</v>
          </cell>
          <cell r="BZ69">
            <v>208003.27</v>
          </cell>
          <cell r="CA69">
            <v>208003.27</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3163255.15</v>
          </cell>
          <cell r="CW69">
            <v>0</v>
          </cell>
          <cell r="CX69">
            <v>0</v>
          </cell>
          <cell r="CY69">
            <v>0</v>
          </cell>
          <cell r="CZ69">
            <v>0</v>
          </cell>
          <cell r="DA69">
            <v>0</v>
          </cell>
          <cell r="DB69">
            <v>0</v>
          </cell>
          <cell r="DC69">
            <v>0</v>
          </cell>
          <cell r="DD69">
            <v>0</v>
          </cell>
          <cell r="DE69">
            <v>0</v>
          </cell>
          <cell r="DF69">
            <v>0</v>
          </cell>
          <cell r="DG69">
            <v>0</v>
          </cell>
          <cell r="DH69">
            <v>0</v>
          </cell>
        </row>
        <row r="70">
          <cell r="A70" t="str">
            <v>1430400</v>
          </cell>
          <cell r="B70" t="str">
            <v>1430400</v>
          </cell>
          <cell r="C70" t="str">
            <v>AR Inc Tax Rec State</v>
          </cell>
          <cell r="D70">
            <v>56521.04</v>
          </cell>
          <cell r="E70">
            <v>0</v>
          </cell>
          <cell r="F70">
            <v>0</v>
          </cell>
          <cell r="G70">
            <v>0</v>
          </cell>
          <cell r="H70">
            <v>0</v>
          </cell>
          <cell r="I70">
            <v>0</v>
          </cell>
          <cell r="J70">
            <v>0</v>
          </cell>
          <cell r="K70">
            <v>0</v>
          </cell>
          <cell r="L70">
            <v>0</v>
          </cell>
          <cell r="M70">
            <v>0</v>
          </cell>
          <cell r="N70">
            <v>0</v>
          </cell>
          <cell r="O70">
            <v>0</v>
          </cell>
          <cell r="P70">
            <v>314614.12</v>
          </cell>
          <cell r="Q70">
            <v>0</v>
          </cell>
          <cell r="R70">
            <v>0</v>
          </cell>
          <cell r="S70">
            <v>0</v>
          </cell>
          <cell r="T70">
            <v>0</v>
          </cell>
          <cell r="U70">
            <v>0</v>
          </cell>
          <cell r="V70">
            <v>0</v>
          </cell>
          <cell r="W70">
            <v>0</v>
          </cell>
          <cell r="X70">
            <v>0</v>
          </cell>
          <cell r="Y70">
            <v>0</v>
          </cell>
          <cell r="Z70">
            <v>0</v>
          </cell>
          <cell r="AA70">
            <v>0</v>
          </cell>
          <cell r="AB70">
            <v>215924.46</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277608.63</v>
          </cell>
          <cell r="BM70">
            <v>0</v>
          </cell>
          <cell r="BN70">
            <v>0</v>
          </cell>
          <cell r="BO70">
            <v>0</v>
          </cell>
          <cell r="BP70">
            <v>0</v>
          </cell>
          <cell r="BQ70">
            <v>0</v>
          </cell>
          <cell r="BR70">
            <v>0</v>
          </cell>
          <cell r="BS70">
            <v>0</v>
          </cell>
          <cell r="BT70">
            <v>0</v>
          </cell>
          <cell r="BU70">
            <v>0</v>
          </cell>
          <cell r="BV70">
            <v>0</v>
          </cell>
          <cell r="BW70">
            <v>0</v>
          </cell>
          <cell r="BX70">
            <v>34285.1</v>
          </cell>
          <cell r="BY70">
            <v>34285.1</v>
          </cell>
          <cell r="BZ70">
            <v>34285.1</v>
          </cell>
          <cell r="CA70">
            <v>34285.1</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791635.73</v>
          </cell>
          <cell r="CW70">
            <v>0</v>
          </cell>
          <cell r="CX70">
            <v>0</v>
          </cell>
          <cell r="CY70">
            <v>0</v>
          </cell>
          <cell r="CZ70">
            <v>0</v>
          </cell>
          <cell r="DA70">
            <v>0</v>
          </cell>
          <cell r="DB70">
            <v>0</v>
          </cell>
          <cell r="DC70">
            <v>0</v>
          </cell>
          <cell r="DD70">
            <v>0</v>
          </cell>
          <cell r="DE70">
            <v>0</v>
          </cell>
          <cell r="DF70">
            <v>0</v>
          </cell>
          <cell r="DG70">
            <v>0</v>
          </cell>
          <cell r="DH70">
            <v>0</v>
          </cell>
        </row>
        <row r="71">
          <cell r="A71" t="str">
            <v>1430500</v>
          </cell>
          <cell r="B71" t="str">
            <v>1430500</v>
          </cell>
          <cell r="C71" t="str">
            <v>AR CIS Incre Non-Gas</v>
          </cell>
          <cell r="D71">
            <v>5905080.3899999997</v>
          </cell>
          <cell r="E71">
            <v>5863523.46</v>
          </cell>
          <cell r="F71">
            <v>5810181.5599999996</v>
          </cell>
          <cell r="G71">
            <v>5753329.4900000002</v>
          </cell>
          <cell r="H71">
            <v>5690205.46</v>
          </cell>
          <cell r="I71">
            <v>5565021.0300000003</v>
          </cell>
          <cell r="J71">
            <v>5487850.8300000001</v>
          </cell>
          <cell r="K71">
            <v>5436662.7300000004</v>
          </cell>
          <cell r="L71">
            <v>5366404.5599999996</v>
          </cell>
          <cell r="M71">
            <v>5359116.46</v>
          </cell>
          <cell r="N71">
            <v>5342134.0599999996</v>
          </cell>
          <cell r="O71">
            <v>5406194.29</v>
          </cell>
          <cell r="P71">
            <v>5477737.7999999998</v>
          </cell>
          <cell r="Q71">
            <v>5815734.4100000001</v>
          </cell>
          <cell r="R71">
            <v>5844889.3099999996</v>
          </cell>
          <cell r="S71">
            <v>5910725.5099999998</v>
          </cell>
          <cell r="T71">
            <v>5859765.5999999996</v>
          </cell>
          <cell r="U71">
            <v>5852703.6600000001</v>
          </cell>
          <cell r="V71">
            <v>5892331.9699999997</v>
          </cell>
          <cell r="W71">
            <v>5963421.3099999996</v>
          </cell>
          <cell r="X71">
            <v>6061500.9199999999</v>
          </cell>
          <cell r="Y71">
            <v>6194083.9400000004</v>
          </cell>
          <cell r="Z71">
            <v>6264404.0499999998</v>
          </cell>
          <cell r="AA71">
            <v>6198201.46</v>
          </cell>
          <cell r="AB71">
            <v>6283131.75</v>
          </cell>
          <cell r="AC71">
            <v>6356595.2999999998</v>
          </cell>
          <cell r="AD71">
            <v>6427854.71</v>
          </cell>
          <cell r="AE71">
            <v>6466328.3300000001</v>
          </cell>
          <cell r="AF71">
            <v>6474090.5700000003</v>
          </cell>
          <cell r="AG71">
            <v>6509965.7400000002</v>
          </cell>
          <cell r="AH71">
            <v>6527950.4400000004</v>
          </cell>
          <cell r="AI71">
            <v>6538306.2800000003</v>
          </cell>
          <cell r="AJ71">
            <v>6543025.4699999997</v>
          </cell>
          <cell r="AK71">
            <v>6539187.0599999996</v>
          </cell>
          <cell r="AL71">
            <v>6576654.9699999997</v>
          </cell>
          <cell r="AM71">
            <v>6600424.6799999997</v>
          </cell>
          <cell r="AN71">
            <v>6367837.25</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row>
        <row r="72">
          <cell r="A72" t="str">
            <v>1430510</v>
          </cell>
          <cell r="B72" t="str">
            <v>1430510</v>
          </cell>
          <cell r="C72" t="str">
            <v>AR CIS Jobbing Recl</v>
          </cell>
          <cell r="D72">
            <v>299544.82</v>
          </cell>
          <cell r="E72">
            <v>311813.09000000003</v>
          </cell>
          <cell r="F72">
            <v>298175.56</v>
          </cell>
          <cell r="G72">
            <v>293873.90999999997</v>
          </cell>
          <cell r="H72">
            <v>300479.46000000002</v>
          </cell>
          <cell r="I72">
            <v>319703.84000000003</v>
          </cell>
          <cell r="J72">
            <v>328361.49</v>
          </cell>
          <cell r="K72">
            <v>309100.55</v>
          </cell>
          <cell r="L72">
            <v>258061.39</v>
          </cell>
          <cell r="M72">
            <v>244409.26</v>
          </cell>
          <cell r="N72">
            <v>269405.78000000003</v>
          </cell>
          <cell r="O72">
            <v>269624.84000000003</v>
          </cell>
          <cell r="P72">
            <v>275730.61</v>
          </cell>
          <cell r="Q72">
            <v>284648.15999999997</v>
          </cell>
          <cell r="R72">
            <v>273045.23</v>
          </cell>
          <cell r="S72">
            <v>255037.29</v>
          </cell>
          <cell r="T72">
            <v>292334.76</v>
          </cell>
          <cell r="U72">
            <v>284688.42</v>
          </cell>
          <cell r="V72">
            <v>294605.74</v>
          </cell>
          <cell r="W72">
            <v>288460</v>
          </cell>
          <cell r="X72">
            <v>261888.79</v>
          </cell>
          <cell r="Y72">
            <v>281088.46999999997</v>
          </cell>
          <cell r="Z72">
            <v>306371.25</v>
          </cell>
          <cell r="AA72">
            <v>280875.23</v>
          </cell>
          <cell r="AB72">
            <v>260016.42</v>
          </cell>
          <cell r="AC72">
            <v>300487.06</v>
          </cell>
          <cell r="AD72">
            <v>312214.75</v>
          </cell>
          <cell r="AE72">
            <v>328736.71999999997</v>
          </cell>
          <cell r="AF72">
            <v>390168.92</v>
          </cell>
          <cell r="AG72">
            <v>329446.44</v>
          </cell>
          <cell r="AH72">
            <v>-10743.16</v>
          </cell>
          <cell r="AI72">
            <v>311257.81</v>
          </cell>
          <cell r="AJ72">
            <v>272543.96999999997</v>
          </cell>
          <cell r="AK72">
            <v>256777.32</v>
          </cell>
          <cell r="AL72">
            <v>110734.01</v>
          </cell>
          <cell r="AM72">
            <v>208045.63</v>
          </cell>
          <cell r="AN72">
            <v>243228.07</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row>
        <row r="73">
          <cell r="A73" t="str">
            <v>1430520</v>
          </cell>
          <cell r="B73" t="str">
            <v>1430520</v>
          </cell>
          <cell r="C73" t="str">
            <v>AR Misc Unappl Cash</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-3000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row>
        <row r="74">
          <cell r="A74" t="str">
            <v>1440000</v>
          </cell>
          <cell r="B74" t="str">
            <v>1440000</v>
          </cell>
          <cell r="C74" t="str">
            <v>Allow Uncollectibles</v>
          </cell>
          <cell r="AL74">
            <v>0</v>
          </cell>
          <cell r="AM74">
            <v>0</v>
          </cell>
          <cell r="AN74">
            <v>0</v>
          </cell>
          <cell r="AO74">
            <v>-157044.19</v>
          </cell>
          <cell r="AP74">
            <v>-238993.48</v>
          </cell>
          <cell r="AQ74">
            <v>-403051.53</v>
          </cell>
          <cell r="AR74">
            <v>-242110.57</v>
          </cell>
          <cell r="AS74">
            <v>-265419.90000000002</v>
          </cell>
          <cell r="AT74">
            <v>-183869.23</v>
          </cell>
          <cell r="AU74">
            <v>-249028.99</v>
          </cell>
          <cell r="AV74">
            <v>-246106.38</v>
          </cell>
          <cell r="AW74">
            <v>-246103.96</v>
          </cell>
          <cell r="AX74">
            <v>-255198.62</v>
          </cell>
          <cell r="AY74">
            <v>-275618.68</v>
          </cell>
          <cell r="AZ74">
            <v>-303726.56</v>
          </cell>
          <cell r="BA74">
            <v>-389179.01</v>
          </cell>
          <cell r="BB74">
            <v>-291069.13</v>
          </cell>
          <cell r="BC74">
            <v>-266234.40000000002</v>
          </cell>
          <cell r="BD74">
            <v>-237517.38</v>
          </cell>
          <cell r="BE74">
            <v>-233160.92</v>
          </cell>
          <cell r="BF74">
            <v>-232236.3</v>
          </cell>
          <cell r="BG74">
            <v>-245567.91</v>
          </cell>
          <cell r="BH74">
            <v>-269580.15999999997</v>
          </cell>
          <cell r="BI74">
            <v>-274642.02</v>
          </cell>
          <cell r="BJ74">
            <v>-264875.34000000003</v>
          </cell>
          <cell r="BK74">
            <v>-274851.34000000003</v>
          </cell>
          <cell r="BL74">
            <v>-326654.49</v>
          </cell>
          <cell r="BM74">
            <v>-352897.36</v>
          </cell>
          <cell r="BN74">
            <v>-351707.88</v>
          </cell>
          <cell r="BO74">
            <v>-359604.9</v>
          </cell>
          <cell r="BP74">
            <v>-372164.2</v>
          </cell>
          <cell r="BQ74">
            <v>-369066.23999999999</v>
          </cell>
          <cell r="BR74">
            <v>-351922.05</v>
          </cell>
          <cell r="BS74">
            <v>-342564.94</v>
          </cell>
          <cell r="BT74">
            <v>-337491.07</v>
          </cell>
          <cell r="BU74">
            <v>-315476.51</v>
          </cell>
          <cell r="BV74">
            <v>-305934.44</v>
          </cell>
          <cell r="BW74">
            <v>-327635.53000000003</v>
          </cell>
          <cell r="BX74">
            <v>-335559.6</v>
          </cell>
          <cell r="BY74">
            <v>-363319.21</v>
          </cell>
          <cell r="BZ74">
            <v>-332766.71999999997</v>
          </cell>
          <cell r="CA74">
            <v>-515565.99</v>
          </cell>
          <cell r="CB74">
            <v>-759958.55</v>
          </cell>
          <cell r="CC74">
            <v>-1016864.46</v>
          </cell>
          <cell r="CD74">
            <v>-1314337.8600000001</v>
          </cell>
          <cell r="CE74">
            <v>-1525174</v>
          </cell>
          <cell r="CF74">
            <v>-1763349.47</v>
          </cell>
          <cell r="CG74">
            <v>-1944094.85</v>
          </cell>
          <cell r="CH74">
            <v>-1758071.57</v>
          </cell>
          <cell r="CI74">
            <v>-1893706.34</v>
          </cell>
          <cell r="CJ74">
            <v>-1306227.33</v>
          </cell>
          <cell r="CK74">
            <v>-1503254.69</v>
          </cell>
          <cell r="CL74">
            <v>-1676938.96</v>
          </cell>
          <cell r="CM74">
            <v>-1356182.17</v>
          </cell>
          <cell r="CN74">
            <v>-1450493.44</v>
          </cell>
          <cell r="CO74">
            <v>-1529217.09</v>
          </cell>
          <cell r="CP74">
            <v>-1511549.4</v>
          </cell>
          <cell r="CQ74">
            <v>-1550433.59</v>
          </cell>
          <cell r="CR74">
            <v>-1604740.44</v>
          </cell>
          <cell r="CS74">
            <v>-1657765.44</v>
          </cell>
          <cell r="CT74">
            <v>-1730433.11</v>
          </cell>
          <cell r="CU74">
            <v>-1705592.45</v>
          </cell>
          <cell r="CV74">
            <v>-1717716.51</v>
          </cell>
          <cell r="CW74">
            <v>-1776442.59</v>
          </cell>
          <cell r="CX74">
            <v>-1776430.87</v>
          </cell>
          <cell r="CY74">
            <v>-1796787.4</v>
          </cell>
          <cell r="CZ74">
            <v>-1718309.15</v>
          </cell>
          <cell r="DA74">
            <v>-1737695.01</v>
          </cell>
          <cell r="DB74">
            <v>-1765897.88</v>
          </cell>
          <cell r="DC74">
            <v>-1768522.54</v>
          </cell>
          <cell r="DD74">
            <v>-1854931.39</v>
          </cell>
          <cell r="DE74">
            <v>-1860255.8</v>
          </cell>
          <cell r="DF74">
            <v>-1864281.29</v>
          </cell>
          <cell r="DG74">
            <v>-1773644.94</v>
          </cell>
          <cell r="DH74">
            <v>-1262970.48</v>
          </cell>
        </row>
        <row r="75">
          <cell r="A75" t="str">
            <v>1440001</v>
          </cell>
          <cell r="B75" t="str">
            <v>1440001</v>
          </cell>
          <cell r="C75" t="str">
            <v>Allow Uncoll-CRM FF</v>
          </cell>
          <cell r="AO75">
            <v>0</v>
          </cell>
          <cell r="AP75">
            <v>0</v>
          </cell>
          <cell r="AQ75">
            <v>3.23</v>
          </cell>
          <cell r="AR75">
            <v>2057.7600000000002</v>
          </cell>
          <cell r="AS75">
            <v>2905.6</v>
          </cell>
          <cell r="AT75">
            <v>7363.61</v>
          </cell>
          <cell r="AU75">
            <v>9977.17</v>
          </cell>
          <cell r="AV75">
            <v>15857.9</v>
          </cell>
          <cell r="AW75">
            <v>23736.03</v>
          </cell>
          <cell r="AX75">
            <v>30984.13</v>
          </cell>
          <cell r="AY75">
            <v>33977.25</v>
          </cell>
          <cell r="AZ75">
            <v>35115.89</v>
          </cell>
          <cell r="BA75">
            <v>38624.629999999997</v>
          </cell>
          <cell r="BB75">
            <v>40992.97</v>
          </cell>
          <cell r="BC75">
            <v>43998.94</v>
          </cell>
          <cell r="BD75">
            <v>50001.07</v>
          </cell>
          <cell r="BE75">
            <v>55546.01</v>
          </cell>
          <cell r="BF75">
            <v>59404.27</v>
          </cell>
          <cell r="BG75">
            <v>64158.04</v>
          </cell>
          <cell r="BH75">
            <v>67622.36</v>
          </cell>
          <cell r="BI75">
            <v>71557.33</v>
          </cell>
          <cell r="BJ75">
            <v>75866.31</v>
          </cell>
          <cell r="BK75">
            <v>80678.080000000002</v>
          </cell>
          <cell r="BL75">
            <v>88611.32</v>
          </cell>
          <cell r="BM75">
            <v>94068.75</v>
          </cell>
          <cell r="BN75">
            <v>97332.800000000003</v>
          </cell>
          <cell r="BO75">
            <v>103991.65</v>
          </cell>
          <cell r="BP75">
            <v>113019.47</v>
          </cell>
          <cell r="BQ75">
            <v>116910.02</v>
          </cell>
          <cell r="BR75">
            <v>120169.91</v>
          </cell>
          <cell r="BS75">
            <v>123028.99</v>
          </cell>
          <cell r="BT75">
            <v>125883.39</v>
          </cell>
          <cell r="BU75">
            <v>131890.16</v>
          </cell>
          <cell r="BV75">
            <v>134948.69</v>
          </cell>
          <cell r="BW75">
            <v>137287.82</v>
          </cell>
          <cell r="BX75">
            <v>140153.79</v>
          </cell>
          <cell r="BY75">
            <v>143478.28</v>
          </cell>
          <cell r="BZ75">
            <v>145427.46</v>
          </cell>
          <cell r="CA75">
            <v>145636.06</v>
          </cell>
          <cell r="CB75">
            <v>145303.85</v>
          </cell>
          <cell r="CC75">
            <v>145294.19</v>
          </cell>
          <cell r="CD75">
            <v>144853.89000000001</v>
          </cell>
          <cell r="CE75">
            <v>145285.25</v>
          </cell>
          <cell r="CF75">
            <v>145221.01</v>
          </cell>
          <cell r="CG75">
            <v>148919.21</v>
          </cell>
          <cell r="CH75">
            <v>163203.75</v>
          </cell>
          <cell r="CI75">
            <v>166088.21</v>
          </cell>
          <cell r="CJ75">
            <v>173008.4</v>
          </cell>
          <cell r="CK75">
            <v>175117.56</v>
          </cell>
          <cell r="CL75">
            <v>177971.17</v>
          </cell>
          <cell r="CM75">
            <v>180266.7</v>
          </cell>
          <cell r="CN75">
            <v>184896.53</v>
          </cell>
          <cell r="CO75">
            <v>187550.51</v>
          </cell>
          <cell r="CP75">
            <v>192726.21</v>
          </cell>
          <cell r="CQ75">
            <v>198214.28</v>
          </cell>
          <cell r="CR75">
            <v>202188.24</v>
          </cell>
          <cell r="CS75">
            <v>205916.17</v>
          </cell>
          <cell r="CT75">
            <v>209692.77</v>
          </cell>
          <cell r="CU75">
            <v>212560.29</v>
          </cell>
          <cell r="CV75">
            <v>216214.85</v>
          </cell>
          <cell r="CW75">
            <v>219375.21</v>
          </cell>
          <cell r="CX75">
            <v>220569.79</v>
          </cell>
          <cell r="CY75">
            <v>223722.23999999999</v>
          </cell>
          <cell r="CZ75">
            <v>226859.07</v>
          </cell>
          <cell r="DA75">
            <v>230226.09</v>
          </cell>
          <cell r="DB75">
            <v>235325.79</v>
          </cell>
          <cell r="DC75">
            <v>238979.97</v>
          </cell>
          <cell r="DD75">
            <v>242894.3</v>
          </cell>
          <cell r="DE75">
            <v>246495.79</v>
          </cell>
          <cell r="DF75">
            <v>249495.35</v>
          </cell>
          <cell r="DG75">
            <v>253673.44</v>
          </cell>
          <cell r="DH75">
            <v>256779.38</v>
          </cell>
        </row>
        <row r="76">
          <cell r="A76" t="str">
            <v>1440002</v>
          </cell>
          <cell r="B76" t="str">
            <v>1440002</v>
          </cell>
          <cell r="C76" t="str">
            <v>Allow Uncoll-CRM GRT</v>
          </cell>
          <cell r="AO76">
            <v>0</v>
          </cell>
          <cell r="AP76">
            <v>0</v>
          </cell>
          <cell r="AQ76">
            <v>0.89</v>
          </cell>
          <cell r="AR76">
            <v>1181.52</v>
          </cell>
          <cell r="AS76">
            <v>1714.26</v>
          </cell>
          <cell r="AT76">
            <v>4234.34</v>
          </cell>
          <cell r="AU76">
            <v>5459.98</v>
          </cell>
          <cell r="AV76">
            <v>8743.52</v>
          </cell>
          <cell r="AW76">
            <v>11612.39</v>
          </cell>
          <cell r="AX76">
            <v>14586.34</v>
          </cell>
          <cell r="AY76">
            <v>15884.86</v>
          </cell>
          <cell r="AZ76">
            <v>16423.68</v>
          </cell>
          <cell r="BA76">
            <v>17963.78</v>
          </cell>
          <cell r="BB76">
            <v>18978.64</v>
          </cell>
          <cell r="BC76">
            <v>20533.759999999998</v>
          </cell>
          <cell r="BD76">
            <v>23666.79</v>
          </cell>
          <cell r="BE76">
            <v>25729.99</v>
          </cell>
          <cell r="BF76">
            <v>27337.21</v>
          </cell>
          <cell r="BG76">
            <v>29414.29</v>
          </cell>
          <cell r="BH76">
            <v>30835.27</v>
          </cell>
          <cell r="BI76">
            <v>32352.62</v>
          </cell>
          <cell r="BJ76">
            <v>33988.19</v>
          </cell>
          <cell r="BK76">
            <v>36016.14</v>
          </cell>
          <cell r="BL76">
            <v>39268.720000000001</v>
          </cell>
          <cell r="BM76">
            <v>40805.19</v>
          </cell>
          <cell r="BN76">
            <v>42463.41</v>
          </cell>
          <cell r="BO76">
            <v>44937.97</v>
          </cell>
          <cell r="BP76">
            <v>48222.400000000001</v>
          </cell>
          <cell r="BQ76">
            <v>49666.33</v>
          </cell>
          <cell r="BR76">
            <v>51521.47</v>
          </cell>
          <cell r="BS76">
            <v>53020.28</v>
          </cell>
          <cell r="BT76">
            <v>54266.83</v>
          </cell>
          <cell r="BU76">
            <v>59844.18</v>
          </cell>
          <cell r="BV76">
            <v>61134.02</v>
          </cell>
          <cell r="BW76">
            <v>61899.360000000001</v>
          </cell>
          <cell r="BX76">
            <v>63105.43</v>
          </cell>
          <cell r="BY76">
            <v>65270.27</v>
          </cell>
          <cell r="BZ76">
            <v>66161.86</v>
          </cell>
          <cell r="CA76">
            <v>66565.62</v>
          </cell>
          <cell r="CB76">
            <v>66378.75</v>
          </cell>
          <cell r="CC76">
            <v>67039.69</v>
          </cell>
          <cell r="CD76">
            <v>66846.41</v>
          </cell>
          <cell r="CE76">
            <v>68255.37</v>
          </cell>
          <cell r="CF76">
            <v>68320.08</v>
          </cell>
          <cell r="CG76">
            <v>70159.08</v>
          </cell>
          <cell r="CH76">
            <v>78227.86</v>
          </cell>
          <cell r="CI76">
            <v>79582.759999999995</v>
          </cell>
          <cell r="CJ76">
            <v>86030.24</v>
          </cell>
          <cell r="CK76">
            <v>87935.17</v>
          </cell>
          <cell r="CL76">
            <v>88380.17</v>
          </cell>
          <cell r="CM76">
            <v>87716.37</v>
          </cell>
          <cell r="CN76">
            <v>89611.63</v>
          </cell>
          <cell r="CO76">
            <v>91101.22</v>
          </cell>
          <cell r="CP76">
            <v>93382.11</v>
          </cell>
          <cell r="CQ76">
            <v>95237.24</v>
          </cell>
          <cell r="CR76">
            <v>96851.68</v>
          </cell>
          <cell r="CS76">
            <v>98001.67</v>
          </cell>
          <cell r="CT76">
            <v>101000.66</v>
          </cell>
          <cell r="CU76">
            <v>100542.53</v>
          </cell>
          <cell r="CV76">
            <v>101979.93</v>
          </cell>
          <cell r="CW76">
            <v>102743.18</v>
          </cell>
          <cell r="CX76">
            <v>103192.67</v>
          </cell>
          <cell r="CY76">
            <v>104425.61</v>
          </cell>
          <cell r="CZ76">
            <v>105756.55</v>
          </cell>
          <cell r="DA76">
            <v>107407.67999999999</v>
          </cell>
          <cell r="DB76">
            <v>109290.73</v>
          </cell>
          <cell r="DC76">
            <v>111075.2</v>
          </cell>
          <cell r="DD76">
            <v>112575.96</v>
          </cell>
          <cell r="DE76">
            <v>113970.18</v>
          </cell>
          <cell r="DF76">
            <v>115118.53</v>
          </cell>
          <cell r="DG76">
            <v>116405.45</v>
          </cell>
          <cell r="DH76">
            <v>117526.11</v>
          </cell>
        </row>
        <row r="77">
          <cell r="A77" t="str">
            <v>1440010</v>
          </cell>
          <cell r="B77" t="str">
            <v>1440010</v>
          </cell>
          <cell r="C77" t="str">
            <v>AlwUncoll-Regular</v>
          </cell>
          <cell r="D77">
            <v>-731329.09</v>
          </cell>
          <cell r="E77">
            <v>-782748.28</v>
          </cell>
          <cell r="F77">
            <v>-917716.05</v>
          </cell>
          <cell r="G77">
            <v>-957279.1</v>
          </cell>
          <cell r="H77">
            <v>-935207.56</v>
          </cell>
          <cell r="I77">
            <v>-856777.71</v>
          </cell>
          <cell r="J77">
            <v>-816528.2</v>
          </cell>
          <cell r="K77">
            <v>-794094.56</v>
          </cell>
          <cell r="L77">
            <v>-747608.48</v>
          </cell>
          <cell r="M77">
            <v>-725358.9</v>
          </cell>
          <cell r="N77">
            <v>-695536.87</v>
          </cell>
          <cell r="O77">
            <v>-707430.92</v>
          </cell>
          <cell r="P77">
            <v>-716180.51</v>
          </cell>
          <cell r="Q77">
            <v>-764563.98</v>
          </cell>
          <cell r="R77">
            <v>-833682.14</v>
          </cell>
          <cell r="S77">
            <v>-866987.2</v>
          </cell>
          <cell r="T77">
            <v>-866890.19</v>
          </cell>
          <cell r="U77">
            <v>-848576.7</v>
          </cell>
          <cell r="V77">
            <v>-848491.47</v>
          </cell>
          <cell r="W77">
            <v>-838881.91</v>
          </cell>
          <cell r="X77">
            <v>-842812.73</v>
          </cell>
          <cell r="Y77">
            <v>-837646</v>
          </cell>
          <cell r="Z77">
            <v>-838111.69</v>
          </cell>
          <cell r="AA77">
            <v>-847212.74</v>
          </cell>
          <cell r="AB77">
            <v>-849690.38</v>
          </cell>
          <cell r="AC77">
            <v>-887536.24</v>
          </cell>
          <cell r="AD77">
            <v>-944535.58</v>
          </cell>
          <cell r="AE77">
            <v>-956846.5</v>
          </cell>
          <cell r="AF77">
            <v>-941985.09</v>
          </cell>
          <cell r="AG77">
            <v>-940287.95</v>
          </cell>
          <cell r="AH77">
            <v>-903512.59</v>
          </cell>
          <cell r="AI77">
            <v>-849498.54</v>
          </cell>
          <cell r="AJ77">
            <v>-845093.79</v>
          </cell>
          <cell r="AK77">
            <v>-801433.25</v>
          </cell>
          <cell r="AL77">
            <v>-783650.76</v>
          </cell>
          <cell r="AM77">
            <v>-787925.3</v>
          </cell>
          <cell r="AN77">
            <v>-63418.5</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row>
        <row r="78">
          <cell r="A78" t="str">
            <v>1440020</v>
          </cell>
          <cell r="B78" t="str">
            <v>1440020</v>
          </cell>
          <cell r="C78" t="str">
            <v>AlwUncoll-Misc Bill</v>
          </cell>
          <cell r="D78">
            <v>-300000</v>
          </cell>
          <cell r="E78">
            <v>-300000</v>
          </cell>
          <cell r="F78">
            <v>-300000</v>
          </cell>
          <cell r="G78">
            <v>-300000</v>
          </cell>
          <cell r="H78">
            <v>-300000</v>
          </cell>
          <cell r="I78">
            <v>-300000</v>
          </cell>
          <cell r="J78">
            <v>-300000</v>
          </cell>
          <cell r="K78">
            <v>-300000</v>
          </cell>
          <cell r="L78">
            <v>-300000</v>
          </cell>
          <cell r="M78">
            <v>-300000</v>
          </cell>
          <cell r="N78">
            <v>-300000</v>
          </cell>
          <cell r="O78">
            <v>-300000</v>
          </cell>
          <cell r="P78">
            <v>-300000</v>
          </cell>
          <cell r="Q78">
            <v>-300000</v>
          </cell>
          <cell r="R78">
            <v>-300000</v>
          </cell>
          <cell r="S78">
            <v>-300000</v>
          </cell>
          <cell r="T78">
            <v>-300000</v>
          </cell>
          <cell r="U78">
            <v>-300000</v>
          </cell>
          <cell r="V78">
            <v>-300000</v>
          </cell>
          <cell r="W78">
            <v>-300000</v>
          </cell>
          <cell r="X78">
            <v>-300000</v>
          </cell>
          <cell r="Y78">
            <v>-300000</v>
          </cell>
          <cell r="Z78">
            <v>-300000</v>
          </cell>
          <cell r="AA78">
            <v>-300000</v>
          </cell>
          <cell r="AB78">
            <v>-300000</v>
          </cell>
          <cell r="AC78">
            <v>-300000</v>
          </cell>
          <cell r="AD78">
            <v>-300000</v>
          </cell>
          <cell r="AE78">
            <v>-300000</v>
          </cell>
          <cell r="AF78">
            <v>-300000</v>
          </cell>
          <cell r="AG78">
            <v>-300000</v>
          </cell>
          <cell r="AH78">
            <v>-300000</v>
          </cell>
          <cell r="AI78">
            <v>-300000</v>
          </cell>
          <cell r="AJ78">
            <v>-300000</v>
          </cell>
          <cell r="AK78">
            <v>-300000</v>
          </cell>
          <cell r="AL78">
            <v>-300000</v>
          </cell>
          <cell r="AM78">
            <v>-300000</v>
          </cell>
          <cell r="AN78">
            <v>-350000</v>
          </cell>
          <cell r="AO78">
            <v>-350000</v>
          </cell>
          <cell r="AP78">
            <v>-350000</v>
          </cell>
          <cell r="AQ78">
            <v>-350000</v>
          </cell>
          <cell r="AR78">
            <v>-350000</v>
          </cell>
          <cell r="AS78">
            <v>-350000</v>
          </cell>
          <cell r="AT78">
            <v>-350000</v>
          </cell>
          <cell r="AU78">
            <v>-350000</v>
          </cell>
          <cell r="AV78">
            <v>-350000</v>
          </cell>
          <cell r="AW78">
            <v>-350000</v>
          </cell>
          <cell r="AX78">
            <v>-350000</v>
          </cell>
          <cell r="AY78">
            <v>-350000</v>
          </cell>
          <cell r="AZ78">
            <v>-350000</v>
          </cell>
          <cell r="BA78">
            <v>-350000</v>
          </cell>
          <cell r="BB78">
            <v>-350000</v>
          </cell>
          <cell r="BC78">
            <v>-350000</v>
          </cell>
          <cell r="BD78">
            <v>-350000</v>
          </cell>
          <cell r="BE78">
            <v>-350000</v>
          </cell>
          <cell r="BF78">
            <v>-350000</v>
          </cell>
          <cell r="BG78">
            <v>-350000</v>
          </cell>
          <cell r="BH78">
            <v>-350000</v>
          </cell>
          <cell r="BI78">
            <v>-350000</v>
          </cell>
          <cell r="BJ78">
            <v>-350000</v>
          </cell>
          <cell r="BK78">
            <v>-350000</v>
          </cell>
          <cell r="BL78">
            <v>-350000</v>
          </cell>
          <cell r="BM78">
            <v>-350000</v>
          </cell>
          <cell r="BN78">
            <v>-350000</v>
          </cell>
          <cell r="BO78">
            <v>-350000</v>
          </cell>
          <cell r="BP78">
            <v>-350000</v>
          </cell>
          <cell r="BQ78">
            <v>-350000</v>
          </cell>
          <cell r="BR78">
            <v>-350000</v>
          </cell>
          <cell r="BS78">
            <v>-175000</v>
          </cell>
          <cell r="BT78">
            <v>-175000</v>
          </cell>
          <cell r="BU78">
            <v>-175000</v>
          </cell>
          <cell r="BV78">
            <v>-204508.87</v>
          </cell>
          <cell r="BW78">
            <v>-204508.87</v>
          </cell>
          <cell r="BX78">
            <v>-204508.87</v>
          </cell>
          <cell r="BY78">
            <v>-204508.87</v>
          </cell>
          <cell r="BZ78">
            <v>-204508.87</v>
          </cell>
          <cell r="CA78">
            <v>-204508.87</v>
          </cell>
          <cell r="CB78">
            <v>-204508.87</v>
          </cell>
          <cell r="CC78">
            <v>-204508.87</v>
          </cell>
          <cell r="CD78">
            <v>-204508.87</v>
          </cell>
          <cell r="CE78">
            <v>-204508.87</v>
          </cell>
          <cell r="CF78">
            <v>-204508.87</v>
          </cell>
          <cell r="CG78">
            <v>-204508.87</v>
          </cell>
          <cell r="CH78">
            <v>-204508.87</v>
          </cell>
          <cell r="CI78">
            <v>-204508.87</v>
          </cell>
          <cell r="CJ78">
            <v>-204508.87</v>
          </cell>
          <cell r="CK78">
            <v>-204508.87</v>
          </cell>
          <cell r="CL78">
            <v>-204508.87</v>
          </cell>
          <cell r="CM78">
            <v>-204508.87</v>
          </cell>
          <cell r="CN78">
            <v>-204508.87</v>
          </cell>
          <cell r="CO78">
            <v>-204508.87</v>
          </cell>
          <cell r="CP78">
            <v>-204508.87</v>
          </cell>
          <cell r="CQ78">
            <v>-204508.87</v>
          </cell>
          <cell r="CR78">
            <v>-204508.87</v>
          </cell>
          <cell r="CS78">
            <v>-204508.87</v>
          </cell>
          <cell r="CT78">
            <v>-204508.87</v>
          </cell>
          <cell r="CU78">
            <v>-204508.87</v>
          </cell>
          <cell r="CV78">
            <v>-204508.87</v>
          </cell>
          <cell r="CW78">
            <v>-204508.87</v>
          </cell>
          <cell r="CX78">
            <v>-204508.87</v>
          </cell>
          <cell r="CY78">
            <v>-204508.87</v>
          </cell>
          <cell r="CZ78">
            <v>-204508.87</v>
          </cell>
          <cell r="DA78">
            <v>-204508.87</v>
          </cell>
          <cell r="DB78">
            <v>-204508.87</v>
          </cell>
          <cell r="DC78">
            <v>-204508.87</v>
          </cell>
          <cell r="DD78">
            <v>-204508.87</v>
          </cell>
          <cell r="DE78">
            <v>-204508.87</v>
          </cell>
          <cell r="DF78">
            <v>-204508.87</v>
          </cell>
          <cell r="DG78">
            <v>0</v>
          </cell>
          <cell r="DH78">
            <v>0</v>
          </cell>
        </row>
        <row r="79">
          <cell r="A79" t="str">
            <v>1450711</v>
          </cell>
          <cell r="B79" t="str">
            <v>1450711</v>
          </cell>
          <cell r="C79" t="str">
            <v>NR IC Current</v>
          </cell>
          <cell r="D79">
            <v>0</v>
          </cell>
          <cell r="E79">
            <v>0</v>
          </cell>
          <cell r="F79">
            <v>0</v>
          </cell>
          <cell r="G79">
            <v>1500000</v>
          </cell>
          <cell r="H79">
            <v>0</v>
          </cell>
          <cell r="I79">
            <v>0</v>
          </cell>
          <cell r="J79">
            <v>0</v>
          </cell>
          <cell r="K79">
            <v>0</v>
          </cell>
          <cell r="L79">
            <v>0</v>
          </cell>
          <cell r="M79">
            <v>0</v>
          </cell>
          <cell r="N79">
            <v>0</v>
          </cell>
          <cell r="O79">
            <v>0</v>
          </cell>
          <cell r="P79">
            <v>0</v>
          </cell>
          <cell r="Q79">
            <v>0</v>
          </cell>
          <cell r="R79">
            <v>0</v>
          </cell>
          <cell r="S79">
            <v>4600000</v>
          </cell>
          <cell r="T79">
            <v>10450000</v>
          </cell>
          <cell r="U79">
            <v>0</v>
          </cell>
          <cell r="V79">
            <v>0</v>
          </cell>
          <cell r="W79">
            <v>0</v>
          </cell>
          <cell r="X79">
            <v>0</v>
          </cell>
          <cell r="Y79">
            <v>0</v>
          </cell>
          <cell r="Z79">
            <v>0</v>
          </cell>
          <cell r="AA79">
            <v>12000000</v>
          </cell>
          <cell r="AB79">
            <v>4500000</v>
          </cell>
          <cell r="AC79">
            <v>3000000</v>
          </cell>
          <cell r="AD79">
            <v>0</v>
          </cell>
          <cell r="AE79">
            <v>0</v>
          </cell>
          <cell r="AF79">
            <v>23200000</v>
          </cell>
          <cell r="AG79">
            <v>5650000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9532753.8200000003</v>
          </cell>
          <cell r="CJ79">
            <v>9933659.4900000002</v>
          </cell>
          <cell r="CK79">
            <v>10459212.380000001</v>
          </cell>
          <cell r="CL79">
            <v>9618303.3200000003</v>
          </cell>
          <cell r="CM79">
            <v>10315787.27</v>
          </cell>
          <cell r="CN79">
            <v>9943295.0999999996</v>
          </cell>
          <cell r="CO79">
            <v>10267360</v>
          </cell>
          <cell r="CP79">
            <v>9828835.2899999991</v>
          </cell>
          <cell r="CQ79">
            <v>9719853.5899999999</v>
          </cell>
          <cell r="CR79">
            <v>10043801.52</v>
          </cell>
          <cell r="CS79">
            <v>9672449.2899999991</v>
          </cell>
          <cell r="CT79">
            <v>9146808.5800000001</v>
          </cell>
          <cell r="CU79">
            <v>9368777.5999999996</v>
          </cell>
          <cell r="CV79">
            <v>9985214.7300000004</v>
          </cell>
          <cell r="CW79">
            <v>8951965.4800000004</v>
          </cell>
          <cell r="CX79">
            <v>10205362.74</v>
          </cell>
          <cell r="CY79">
            <v>10528065.710000001</v>
          </cell>
          <cell r="CZ79">
            <v>9956717.6400000006</v>
          </cell>
          <cell r="DA79">
            <v>10337559.310000001</v>
          </cell>
          <cell r="DB79">
            <v>9979167.6400000006</v>
          </cell>
          <cell r="DC79">
            <v>9678886.3599999994</v>
          </cell>
          <cell r="DD79">
            <v>10135317.810000001</v>
          </cell>
          <cell r="DE79">
            <v>9639007.4199999999</v>
          </cell>
          <cell r="DF79">
            <v>9123362.3000000007</v>
          </cell>
          <cell r="DG79">
            <v>9579074.5899999999</v>
          </cell>
          <cell r="DH79">
            <v>9393665.6600000001</v>
          </cell>
        </row>
        <row r="80">
          <cell r="A80" t="str">
            <v>1460700</v>
          </cell>
          <cell r="B80" t="str">
            <v>1460700</v>
          </cell>
          <cell r="C80" t="str">
            <v>AR Interco Recon</v>
          </cell>
          <cell r="D80">
            <v>1679945.91</v>
          </cell>
          <cell r="E80">
            <v>644007.85</v>
          </cell>
          <cell r="F80">
            <v>724859.53</v>
          </cell>
          <cell r="G80">
            <v>975096.76</v>
          </cell>
          <cell r="H80">
            <v>1409619.51</v>
          </cell>
          <cell r="I80">
            <v>10647654.529999999</v>
          </cell>
          <cell r="J80">
            <v>1483912.28</v>
          </cell>
          <cell r="K80">
            <v>1347114.93</v>
          </cell>
          <cell r="L80">
            <v>2410962.7999999998</v>
          </cell>
          <cell r="M80">
            <v>1880114.07</v>
          </cell>
          <cell r="N80">
            <v>2761309.98</v>
          </cell>
          <cell r="O80">
            <v>1070219.1000000001</v>
          </cell>
          <cell r="P80">
            <v>3697838.5</v>
          </cell>
          <cell r="Q80">
            <v>892886.44</v>
          </cell>
          <cell r="R80">
            <v>989592.34</v>
          </cell>
          <cell r="S80">
            <v>1591172.54</v>
          </cell>
          <cell r="T80">
            <v>1113007.46</v>
          </cell>
          <cell r="U80">
            <v>1534311.47</v>
          </cell>
          <cell r="V80">
            <v>1047927.76</v>
          </cell>
          <cell r="W80">
            <v>1295193.08</v>
          </cell>
          <cell r="X80">
            <v>1499802.48</v>
          </cell>
          <cell r="Y80">
            <v>534621.31999999995</v>
          </cell>
          <cell r="Z80">
            <v>1231110.18</v>
          </cell>
          <cell r="AA80">
            <v>1175267.1200000001</v>
          </cell>
          <cell r="AB80">
            <v>1439589.18</v>
          </cell>
          <cell r="AC80">
            <v>1251794.55</v>
          </cell>
          <cell r="AD80">
            <v>982984.58</v>
          </cell>
          <cell r="AE80">
            <v>1466191.84</v>
          </cell>
          <cell r="AF80">
            <v>5341.74</v>
          </cell>
          <cell r="AG80">
            <v>49432.05</v>
          </cell>
          <cell r="AH80">
            <v>54601.65</v>
          </cell>
          <cell r="AI80">
            <v>238986.08</v>
          </cell>
          <cell r="AJ80">
            <v>33568.879999999997</v>
          </cell>
          <cell r="AK80">
            <v>42419.15</v>
          </cell>
          <cell r="AL80">
            <v>73259.210000000006</v>
          </cell>
          <cell r="AM80">
            <v>51974.79</v>
          </cell>
          <cell r="AN80">
            <v>480492.66</v>
          </cell>
          <cell r="AO80">
            <v>614376.03</v>
          </cell>
          <cell r="AP80">
            <v>572071.55000000005</v>
          </cell>
          <cell r="AQ80">
            <v>104682.72</v>
          </cell>
          <cell r="AR80">
            <v>-95100.800000000003</v>
          </cell>
          <cell r="AS80">
            <v>-39525.18</v>
          </cell>
          <cell r="AT80">
            <v>1276474.8400000001</v>
          </cell>
          <cell r="AU80">
            <v>59506.239999999998</v>
          </cell>
          <cell r="AV80">
            <v>12957750.01</v>
          </cell>
          <cell r="AW80">
            <v>67842.070000000007</v>
          </cell>
          <cell r="AX80">
            <v>67950.89</v>
          </cell>
          <cell r="AY80">
            <v>92640.59</v>
          </cell>
          <cell r="AZ80">
            <v>199466.61</v>
          </cell>
          <cell r="BA80">
            <v>46739.22</v>
          </cell>
          <cell r="BB80">
            <v>664088.48</v>
          </cell>
          <cell r="BC80">
            <v>75922.880000000005</v>
          </cell>
          <cell r="BD80">
            <v>94011.47</v>
          </cell>
          <cell r="BE80">
            <v>81576.11</v>
          </cell>
          <cell r="BF80">
            <v>80478.929999999993</v>
          </cell>
          <cell r="BG80">
            <v>75238.570000000007</v>
          </cell>
          <cell r="BH80">
            <v>109592.07</v>
          </cell>
          <cell r="BI80">
            <v>156610.57</v>
          </cell>
          <cell r="BJ80">
            <v>84354.96</v>
          </cell>
          <cell r="BK80">
            <v>84714.05</v>
          </cell>
          <cell r="BL80">
            <v>206562.38</v>
          </cell>
          <cell r="BM80">
            <v>1544307.56</v>
          </cell>
          <cell r="BN80">
            <v>223838.63</v>
          </cell>
          <cell r="BO80">
            <v>84630.44</v>
          </cell>
          <cell r="BP80">
            <v>89467.55</v>
          </cell>
          <cell r="BQ80">
            <v>87428.160000000003</v>
          </cell>
          <cell r="BR80">
            <v>73667.7</v>
          </cell>
          <cell r="BS80">
            <v>93726.02</v>
          </cell>
          <cell r="BT80">
            <v>103721.19</v>
          </cell>
          <cell r="BU80">
            <v>90429.75</v>
          </cell>
          <cell r="BV80">
            <v>205257.36</v>
          </cell>
          <cell r="BW80">
            <v>184703.19</v>
          </cell>
          <cell r="BX80">
            <v>139013.32999999999</v>
          </cell>
          <cell r="BY80">
            <v>276524.44</v>
          </cell>
          <cell r="BZ80">
            <v>95268.07</v>
          </cell>
          <cell r="CA80">
            <v>164685.78</v>
          </cell>
          <cell r="CB80">
            <v>122138.87</v>
          </cell>
          <cell r="CC80">
            <v>518871.48</v>
          </cell>
          <cell r="CD80">
            <v>107932.91</v>
          </cell>
          <cell r="CE80">
            <v>103560.43</v>
          </cell>
          <cell r="CF80">
            <v>244550.09</v>
          </cell>
          <cell r="CG80">
            <v>47686.27</v>
          </cell>
          <cell r="CH80">
            <v>235781.58</v>
          </cell>
          <cell r="CI80">
            <v>86141.77</v>
          </cell>
          <cell r="CJ80">
            <v>116582.21</v>
          </cell>
          <cell r="CK80">
            <v>87169.01</v>
          </cell>
          <cell r="CL80">
            <v>71233.850000000006</v>
          </cell>
          <cell r="CM80">
            <v>873305.85</v>
          </cell>
          <cell r="CN80">
            <v>67454.149999999994</v>
          </cell>
          <cell r="CO80">
            <v>75268.7</v>
          </cell>
          <cell r="CP80">
            <v>353345.49</v>
          </cell>
          <cell r="CQ80">
            <v>138605.84</v>
          </cell>
          <cell r="CR80">
            <v>102323.49</v>
          </cell>
          <cell r="CS80">
            <v>133181.76000000001</v>
          </cell>
          <cell r="CT80">
            <v>207079.37</v>
          </cell>
          <cell r="CU80">
            <v>177525.26</v>
          </cell>
          <cell r="CV80">
            <v>187609.58</v>
          </cell>
          <cell r="CW80">
            <v>462986.72</v>
          </cell>
          <cell r="CX80">
            <v>163089.96</v>
          </cell>
          <cell r="CY80">
            <v>282858.11</v>
          </cell>
          <cell r="CZ80">
            <v>187956.59</v>
          </cell>
          <cell r="DA80">
            <v>204533.5</v>
          </cell>
          <cell r="DB80">
            <v>162322.70000000001</v>
          </cell>
          <cell r="DC80">
            <v>178758.39999999999</v>
          </cell>
          <cell r="DD80">
            <v>181321.26</v>
          </cell>
          <cell r="DE80">
            <v>167058.39000000001</v>
          </cell>
          <cell r="DF80">
            <v>38689.21</v>
          </cell>
          <cell r="DG80">
            <v>750011.45</v>
          </cell>
          <cell r="DH80">
            <v>226705.18</v>
          </cell>
        </row>
        <row r="81">
          <cell r="A81" t="str">
            <v>1460701</v>
          </cell>
          <cell r="B81" t="str">
            <v>1460701</v>
          </cell>
          <cell r="C81" t="str">
            <v>AR Interco Posting</v>
          </cell>
          <cell r="D81">
            <v>584.47</v>
          </cell>
          <cell r="E81">
            <v>220715.88</v>
          </cell>
          <cell r="F81">
            <v>1291.98</v>
          </cell>
          <cell r="G81">
            <v>2746.02</v>
          </cell>
          <cell r="H81">
            <v>349127.15</v>
          </cell>
          <cell r="I81">
            <v>-1038.8</v>
          </cell>
          <cell r="J81">
            <v>2311.92</v>
          </cell>
          <cell r="K81">
            <v>74755.929999999993</v>
          </cell>
          <cell r="L81">
            <v>69993.38</v>
          </cell>
          <cell r="M81">
            <v>486.98</v>
          </cell>
          <cell r="N81">
            <v>441222.56</v>
          </cell>
          <cell r="O81">
            <v>229207.81</v>
          </cell>
          <cell r="P81">
            <v>352611.43</v>
          </cell>
          <cell r="Q81">
            <v>36214.82</v>
          </cell>
          <cell r="R81">
            <v>639208.37</v>
          </cell>
          <cell r="S81">
            <v>660267.04</v>
          </cell>
          <cell r="T81">
            <v>102520.58</v>
          </cell>
          <cell r="U81">
            <v>76247.899999999994</v>
          </cell>
          <cell r="V81">
            <v>1786190.28</v>
          </cell>
          <cell r="W81">
            <v>975314.49</v>
          </cell>
          <cell r="X81">
            <v>1012624.89</v>
          </cell>
          <cell r="Y81">
            <v>390237.67</v>
          </cell>
          <cell r="Z81">
            <v>441077.78</v>
          </cell>
          <cell r="AA81">
            <v>1170288.67</v>
          </cell>
          <cell r="AB81">
            <v>10347.459999999999</v>
          </cell>
          <cell r="AC81">
            <v>1574175.22</v>
          </cell>
          <cell r="AD81">
            <v>1470471.97</v>
          </cell>
          <cell r="AE81">
            <v>1478553.8</v>
          </cell>
          <cell r="AF81">
            <v>1625962.36</v>
          </cell>
          <cell r="AG81">
            <v>33371.199999999997</v>
          </cell>
          <cell r="AH81">
            <v>303716.28999999998</v>
          </cell>
          <cell r="AI81">
            <v>277653.15000000002</v>
          </cell>
          <cell r="AJ81">
            <v>255407.63</v>
          </cell>
          <cell r="AK81">
            <v>4280.01</v>
          </cell>
          <cell r="AL81">
            <v>186347.4</v>
          </cell>
          <cell r="AM81">
            <v>104565.26</v>
          </cell>
          <cell r="AN81">
            <v>20772.57</v>
          </cell>
          <cell r="AO81">
            <v>3378.86</v>
          </cell>
          <cell r="AP81">
            <v>60523.26</v>
          </cell>
          <cell r="AQ81">
            <v>833062.62</v>
          </cell>
          <cell r="AR81">
            <v>501126.38</v>
          </cell>
          <cell r="AS81">
            <v>1610206.85</v>
          </cell>
          <cell r="AT81">
            <v>125846.59</v>
          </cell>
          <cell r="AU81">
            <v>1039124.19</v>
          </cell>
          <cell r="AV81">
            <v>7918673.4800000004</v>
          </cell>
          <cell r="AW81">
            <v>4948601.2300000004</v>
          </cell>
          <cell r="AX81">
            <v>955164.8</v>
          </cell>
          <cell r="AY81">
            <v>340995.08</v>
          </cell>
          <cell r="AZ81">
            <v>1507251.4</v>
          </cell>
          <cell r="BA81">
            <v>3443683.2</v>
          </cell>
          <cell r="BB81">
            <v>1575614.47</v>
          </cell>
          <cell r="BC81">
            <v>812032.17</v>
          </cell>
          <cell r="BD81">
            <v>222488.66</v>
          </cell>
          <cell r="BE81">
            <v>1077761.2</v>
          </cell>
          <cell r="BF81">
            <v>3328596.09</v>
          </cell>
          <cell r="BG81">
            <v>2256462.77</v>
          </cell>
          <cell r="BH81">
            <v>1653172.7</v>
          </cell>
          <cell r="BI81">
            <v>3453974.79</v>
          </cell>
          <cell r="BJ81">
            <v>5120568.1100000003</v>
          </cell>
          <cell r="BK81">
            <v>4317923.67</v>
          </cell>
          <cell r="BL81">
            <v>492515.72</v>
          </cell>
          <cell r="BM81">
            <v>1484693.36</v>
          </cell>
          <cell r="BN81">
            <v>698618.09</v>
          </cell>
          <cell r="BO81">
            <v>2454312.9900000002</v>
          </cell>
          <cell r="BP81">
            <v>857815.78</v>
          </cell>
          <cell r="BQ81">
            <v>2072617.98</v>
          </cell>
          <cell r="BR81">
            <v>720117.44</v>
          </cell>
          <cell r="BS81">
            <v>805912.98</v>
          </cell>
          <cell r="BT81">
            <v>1019337.8</v>
          </cell>
          <cell r="BU81">
            <v>3002497.42</v>
          </cell>
          <cell r="BV81">
            <v>2757279.2</v>
          </cell>
          <cell r="BW81">
            <v>606007.47</v>
          </cell>
          <cell r="BX81">
            <v>796310.16</v>
          </cell>
          <cell r="BY81">
            <v>1277915.18</v>
          </cell>
          <cell r="BZ81">
            <v>451072.51</v>
          </cell>
          <cell r="CA81">
            <v>797805.67</v>
          </cell>
          <cell r="CB81">
            <v>149453</v>
          </cell>
          <cell r="CC81">
            <v>332948.25</v>
          </cell>
          <cell r="CD81">
            <v>764748.45</v>
          </cell>
          <cell r="CE81">
            <v>1014299.97</v>
          </cell>
          <cell r="CF81">
            <v>157862.01</v>
          </cell>
          <cell r="CG81">
            <v>178095.68</v>
          </cell>
          <cell r="CH81">
            <v>134128.21</v>
          </cell>
          <cell r="CI81">
            <v>128784.18</v>
          </cell>
          <cell r="CJ81">
            <v>299855.06</v>
          </cell>
          <cell r="CK81">
            <v>131246.69</v>
          </cell>
          <cell r="CL81">
            <v>124054</v>
          </cell>
          <cell r="CM81">
            <v>133130.56</v>
          </cell>
          <cell r="CN81">
            <v>124054</v>
          </cell>
          <cell r="CO81">
            <v>204936.02</v>
          </cell>
          <cell r="CP81">
            <v>142415.17000000001</v>
          </cell>
          <cell r="CQ81">
            <v>253178.59</v>
          </cell>
          <cell r="CR81">
            <v>124816.9</v>
          </cell>
          <cell r="CS81">
            <v>124054</v>
          </cell>
          <cell r="CT81">
            <v>183396.87</v>
          </cell>
          <cell r="CU81">
            <v>461445.35</v>
          </cell>
          <cell r="CV81">
            <v>395716.56</v>
          </cell>
          <cell r="CW81">
            <v>289849.53999999998</v>
          </cell>
          <cell r="CX81">
            <v>584284.76</v>
          </cell>
          <cell r="CY81">
            <v>457845.56</v>
          </cell>
          <cell r="CZ81">
            <v>291612.15000000002</v>
          </cell>
          <cell r="DA81">
            <v>671475.76</v>
          </cell>
          <cell r="DB81">
            <v>498170.18</v>
          </cell>
          <cell r="DC81">
            <v>1025222.1</v>
          </cell>
          <cell r="DD81">
            <v>537401.96</v>
          </cell>
          <cell r="DE81">
            <v>475590.24</v>
          </cell>
          <cell r="DF81">
            <v>931859.72</v>
          </cell>
          <cell r="DG81">
            <v>838858</v>
          </cell>
          <cell r="DH81">
            <v>1993605.14</v>
          </cell>
        </row>
        <row r="82">
          <cell r="A82" t="str">
            <v>1460705</v>
          </cell>
          <cell r="B82" t="str">
            <v>1460705</v>
          </cell>
          <cell r="C82" t="str">
            <v>AR Interco NMGC</v>
          </cell>
          <cell r="D82">
            <v>0</v>
          </cell>
          <cell r="E82">
            <v>0</v>
          </cell>
          <cell r="F82">
            <v>0</v>
          </cell>
          <cell r="G82">
            <v>0</v>
          </cell>
          <cell r="H82">
            <v>0</v>
          </cell>
          <cell r="I82">
            <v>0</v>
          </cell>
          <cell r="J82">
            <v>0</v>
          </cell>
          <cell r="K82">
            <v>0</v>
          </cell>
          <cell r="L82">
            <v>0</v>
          </cell>
          <cell r="M82">
            <v>0</v>
          </cell>
          <cell r="N82">
            <v>0</v>
          </cell>
          <cell r="O82">
            <v>133.61000000000001</v>
          </cell>
          <cell r="P82">
            <v>133.61000000000001</v>
          </cell>
          <cell r="Q82">
            <v>133.61000000000001</v>
          </cell>
          <cell r="R82">
            <v>1060.7</v>
          </cell>
          <cell r="S82">
            <v>1100.7</v>
          </cell>
          <cell r="T82">
            <v>1725.08</v>
          </cell>
          <cell r="U82">
            <v>1725.08</v>
          </cell>
          <cell r="V82">
            <v>1725.08</v>
          </cell>
          <cell r="W82">
            <v>1725.08</v>
          </cell>
          <cell r="X82">
            <v>1725.08</v>
          </cell>
          <cell r="Y82">
            <v>1725.08</v>
          </cell>
          <cell r="Z82">
            <v>1725.08</v>
          </cell>
          <cell r="AA82">
            <v>2344.84</v>
          </cell>
          <cell r="AB82">
            <v>5314.75</v>
          </cell>
          <cell r="AC82">
            <v>1725.08</v>
          </cell>
          <cell r="AD82">
            <v>1725.08</v>
          </cell>
          <cell r="AE82">
            <v>1725.08</v>
          </cell>
          <cell r="AF82">
            <v>1725.08</v>
          </cell>
          <cell r="AG82">
            <v>1732.94</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row>
        <row r="83">
          <cell r="A83" t="str">
            <v>1460706</v>
          </cell>
          <cell r="B83" t="str">
            <v>1460706</v>
          </cell>
          <cell r="C83" t="str">
            <v>AR IC Emera Inc</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85.5</v>
          </cell>
          <cell r="BR83">
            <v>85.5</v>
          </cell>
          <cell r="BS83">
            <v>85.5</v>
          </cell>
          <cell r="BT83">
            <v>585.5</v>
          </cell>
          <cell r="BU83">
            <v>585.5</v>
          </cell>
          <cell r="BV83">
            <v>0</v>
          </cell>
          <cell r="BW83">
            <v>0</v>
          </cell>
          <cell r="BX83">
            <v>0</v>
          </cell>
          <cell r="BY83">
            <v>0</v>
          </cell>
          <cell r="BZ83">
            <v>3814</v>
          </cell>
          <cell r="CA83">
            <v>3814</v>
          </cell>
          <cell r="CB83">
            <v>3814</v>
          </cell>
          <cell r="CC83">
            <v>3814</v>
          </cell>
          <cell r="CD83">
            <v>3814</v>
          </cell>
          <cell r="CE83">
            <v>3814</v>
          </cell>
          <cell r="CF83">
            <v>3814</v>
          </cell>
          <cell r="CG83">
            <v>3964</v>
          </cell>
          <cell r="CH83">
            <v>3964</v>
          </cell>
          <cell r="CI83">
            <v>0</v>
          </cell>
          <cell r="CJ83">
            <v>0</v>
          </cell>
          <cell r="CK83">
            <v>18.66</v>
          </cell>
          <cell r="CL83">
            <v>37.5</v>
          </cell>
          <cell r="CM83">
            <v>14383.69</v>
          </cell>
          <cell r="CN83">
            <v>0</v>
          </cell>
          <cell r="CO83">
            <v>18584.669999999998</v>
          </cell>
          <cell r="CP83">
            <v>0</v>
          </cell>
          <cell r="CQ83">
            <v>0</v>
          </cell>
          <cell r="CR83">
            <v>0</v>
          </cell>
          <cell r="CS83">
            <v>0</v>
          </cell>
          <cell r="CT83">
            <v>0</v>
          </cell>
          <cell r="CU83">
            <v>0</v>
          </cell>
          <cell r="CV83">
            <v>0</v>
          </cell>
          <cell r="CW83">
            <v>0</v>
          </cell>
          <cell r="CX83">
            <v>26.28</v>
          </cell>
          <cell r="CY83">
            <v>0</v>
          </cell>
          <cell r="CZ83">
            <v>0</v>
          </cell>
          <cell r="DA83">
            <v>0</v>
          </cell>
          <cell r="DB83">
            <v>0</v>
          </cell>
          <cell r="DC83">
            <v>0</v>
          </cell>
          <cell r="DD83">
            <v>1496.92</v>
          </cell>
          <cell r="DE83">
            <v>1496.92</v>
          </cell>
          <cell r="DF83">
            <v>0</v>
          </cell>
          <cell r="DG83">
            <v>0</v>
          </cell>
          <cell r="DH83">
            <v>10000</v>
          </cell>
        </row>
        <row r="84">
          <cell r="A84" t="str">
            <v>1460710</v>
          </cell>
          <cell r="B84" t="str">
            <v>1460710</v>
          </cell>
          <cell r="C84" t="str">
            <v>Int Rec IC Recon</v>
          </cell>
          <cell r="D84">
            <v>2047.8</v>
          </cell>
          <cell r="E84">
            <v>2047.8</v>
          </cell>
          <cell r="F84">
            <v>2047.8</v>
          </cell>
          <cell r="G84">
            <v>2047.8</v>
          </cell>
          <cell r="H84">
            <v>2047.8</v>
          </cell>
          <cell r="I84">
            <v>2047.8</v>
          </cell>
          <cell r="J84">
            <v>2047.8</v>
          </cell>
          <cell r="K84">
            <v>2047.8</v>
          </cell>
          <cell r="L84">
            <v>2047.8</v>
          </cell>
          <cell r="M84">
            <v>2047.8</v>
          </cell>
          <cell r="N84">
            <v>2047.8</v>
          </cell>
          <cell r="O84">
            <v>2047.8</v>
          </cell>
          <cell r="P84">
            <v>2047.8</v>
          </cell>
          <cell r="Q84">
            <v>2047.8</v>
          </cell>
          <cell r="R84">
            <v>2047.8</v>
          </cell>
          <cell r="S84">
            <v>2047.8</v>
          </cell>
          <cell r="T84">
            <v>2047.8</v>
          </cell>
          <cell r="U84">
            <v>2047.8</v>
          </cell>
          <cell r="V84">
            <v>2047.8</v>
          </cell>
          <cell r="W84">
            <v>2047.8</v>
          </cell>
          <cell r="X84">
            <v>2047.8</v>
          </cell>
          <cell r="Y84">
            <v>2047.8</v>
          </cell>
          <cell r="Z84">
            <v>2047.8</v>
          </cell>
          <cell r="AA84">
            <v>2047.8</v>
          </cell>
          <cell r="AB84">
            <v>2047.8</v>
          </cell>
          <cell r="AC84">
            <v>2047.8</v>
          </cell>
          <cell r="AD84">
            <v>2047.8</v>
          </cell>
          <cell r="AE84">
            <v>2047.8</v>
          </cell>
          <cell r="AF84">
            <v>2047.8</v>
          </cell>
          <cell r="AG84">
            <v>2047.8</v>
          </cell>
          <cell r="AH84">
            <v>2047.8</v>
          </cell>
          <cell r="AI84">
            <v>2047.8</v>
          </cell>
          <cell r="AJ84">
            <v>2047.8</v>
          </cell>
          <cell r="AK84">
            <v>2047.8</v>
          </cell>
          <cell r="AL84">
            <v>2047.8</v>
          </cell>
          <cell r="AM84">
            <v>2047.8</v>
          </cell>
          <cell r="AN84">
            <v>2047.8</v>
          </cell>
          <cell r="AO84">
            <v>2047.8</v>
          </cell>
          <cell r="AP84">
            <v>2047.8</v>
          </cell>
          <cell r="AQ84">
            <v>2047.8</v>
          </cell>
          <cell r="AR84">
            <v>2047.8</v>
          </cell>
          <cell r="AS84">
            <v>2047.8</v>
          </cell>
          <cell r="AT84">
            <v>2047.8</v>
          </cell>
          <cell r="AU84">
            <v>2047.8</v>
          </cell>
          <cell r="AV84">
            <v>2047.8</v>
          </cell>
          <cell r="AW84">
            <v>2047.8</v>
          </cell>
          <cell r="AX84">
            <v>2047.8</v>
          </cell>
          <cell r="AY84">
            <v>2047.8</v>
          </cell>
          <cell r="AZ84">
            <v>2047.8</v>
          </cell>
          <cell r="BA84">
            <v>2047.8</v>
          </cell>
          <cell r="BB84">
            <v>2047.8</v>
          </cell>
          <cell r="BC84">
            <v>2047.8</v>
          </cell>
          <cell r="BD84">
            <v>2047.8</v>
          </cell>
          <cell r="BE84">
            <v>2047.8</v>
          </cell>
          <cell r="BF84">
            <v>2047.8</v>
          </cell>
          <cell r="BG84">
            <v>2047.8</v>
          </cell>
          <cell r="BH84">
            <v>2047.8</v>
          </cell>
          <cell r="BI84">
            <v>2047.8</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9413.48</v>
          </cell>
          <cell r="CL84">
            <v>18872.66</v>
          </cell>
          <cell r="CM84">
            <v>28102.49</v>
          </cell>
          <cell r="CN84">
            <v>4897.04</v>
          </cell>
          <cell r="CO84">
            <v>10909.71</v>
          </cell>
          <cell r="CP84">
            <v>4635.07</v>
          </cell>
          <cell r="CQ84">
            <v>2076.81</v>
          </cell>
          <cell r="CR84">
            <v>2131.5</v>
          </cell>
          <cell r="CS84">
            <v>1986.29</v>
          </cell>
          <cell r="CT84">
            <v>1910.9</v>
          </cell>
          <cell r="CU84">
            <v>1944.63</v>
          </cell>
          <cell r="CV84">
            <v>2449.88</v>
          </cell>
          <cell r="CW84">
            <v>2657.93</v>
          </cell>
          <cell r="CX84">
            <v>2452.38</v>
          </cell>
          <cell r="CY84">
            <v>7580.94</v>
          </cell>
          <cell r="CZ84">
            <v>9835.57</v>
          </cell>
          <cell r="DA84">
            <v>10685.54</v>
          </cell>
          <cell r="DB84">
            <v>13833.3</v>
          </cell>
          <cell r="DC84">
            <v>17837.21</v>
          </cell>
          <cell r="DD84">
            <v>25658.32</v>
          </cell>
          <cell r="DE84">
            <v>29496.400000000001</v>
          </cell>
          <cell r="DF84">
            <v>31965.72</v>
          </cell>
          <cell r="DG84">
            <v>35430.39</v>
          </cell>
          <cell r="DH84">
            <v>39515.410000000003</v>
          </cell>
        </row>
        <row r="85">
          <cell r="A85" t="str">
            <v>1460720</v>
          </cell>
          <cell r="B85" t="str">
            <v>1460720</v>
          </cell>
          <cell r="C85" t="str">
            <v>Divid Rec IC Recon</v>
          </cell>
          <cell r="D85">
            <v>0</v>
          </cell>
          <cell r="E85">
            <v>595844.98</v>
          </cell>
          <cell r="F85">
            <v>0</v>
          </cell>
          <cell r="G85">
            <v>0</v>
          </cell>
          <cell r="H85">
            <v>718889.62</v>
          </cell>
          <cell r="I85">
            <v>0</v>
          </cell>
          <cell r="J85">
            <v>0</v>
          </cell>
          <cell r="K85">
            <v>665875.13</v>
          </cell>
          <cell r="L85">
            <v>0</v>
          </cell>
          <cell r="M85">
            <v>0</v>
          </cell>
          <cell r="N85">
            <v>700855.31</v>
          </cell>
          <cell r="O85">
            <v>0</v>
          </cell>
          <cell r="P85">
            <v>0</v>
          </cell>
          <cell r="Q85">
            <v>0</v>
          </cell>
          <cell r="R85">
            <v>531346.68999999994</v>
          </cell>
          <cell r="S85">
            <v>0</v>
          </cell>
          <cell r="T85">
            <v>794540.33</v>
          </cell>
          <cell r="U85">
            <v>0</v>
          </cell>
          <cell r="V85">
            <v>0</v>
          </cell>
          <cell r="W85">
            <v>492195.91</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997358.54</v>
          </cell>
          <cell r="CO85">
            <v>0</v>
          </cell>
          <cell r="CP85">
            <v>0</v>
          </cell>
          <cell r="CQ85">
            <v>0</v>
          </cell>
          <cell r="CR85">
            <v>0</v>
          </cell>
          <cell r="CS85">
            <v>0</v>
          </cell>
          <cell r="CT85">
            <v>0</v>
          </cell>
          <cell r="CU85">
            <v>0</v>
          </cell>
          <cell r="CV85">
            <v>0</v>
          </cell>
          <cell r="CW85">
            <v>0</v>
          </cell>
          <cell r="CX85">
            <v>0</v>
          </cell>
          <cell r="CY85">
            <v>0</v>
          </cell>
          <cell r="CZ85">
            <v>871938.8</v>
          </cell>
          <cell r="DA85">
            <v>0</v>
          </cell>
          <cell r="DB85">
            <v>0</v>
          </cell>
          <cell r="DC85">
            <v>0</v>
          </cell>
          <cell r="DD85">
            <v>0</v>
          </cell>
          <cell r="DE85">
            <v>0</v>
          </cell>
          <cell r="DF85">
            <v>1062156.04</v>
          </cell>
          <cell r="DG85">
            <v>0</v>
          </cell>
          <cell r="DH85">
            <v>0</v>
          </cell>
        </row>
        <row r="86">
          <cell r="A86" t="str">
            <v>1460740</v>
          </cell>
          <cell r="B86" t="str">
            <v>1460740</v>
          </cell>
          <cell r="C86" t="str">
            <v>AR IC CRM-OneBill</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row>
        <row r="87">
          <cell r="A87" t="str">
            <v>1460741</v>
          </cell>
          <cell r="B87" t="str">
            <v>1460741</v>
          </cell>
          <cell r="C87" t="str">
            <v>AR IC CRM-TEC</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row>
        <row r="88">
          <cell r="A88" t="str">
            <v>1460743</v>
          </cell>
          <cell r="B88" t="str">
            <v>1460743</v>
          </cell>
          <cell r="C88" t="str">
            <v>AR IC CRM-TPI</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row>
        <row r="89">
          <cell r="A89" t="str">
            <v>1460780</v>
          </cell>
          <cell r="B89" t="str">
            <v>1460780</v>
          </cell>
          <cell r="C89" t="str">
            <v>AR IC EmeraSAP Recon</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4029.56</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row>
        <row r="90">
          <cell r="A90">
            <v>1460790</v>
          </cell>
          <cell r="B90">
            <v>1460790</v>
          </cell>
          <cell r="C90" t="str">
            <v>Trade Receivable-Emera Intercompany (RECON)</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550933</v>
          </cell>
          <cell r="CG90">
            <v>1385701</v>
          </cell>
          <cell r="CH90">
            <v>60493.56</v>
          </cell>
          <cell r="CI90">
            <v>9889.69</v>
          </cell>
          <cell r="CJ90">
            <v>10225.68</v>
          </cell>
          <cell r="CK90">
            <v>10225.68</v>
          </cell>
          <cell r="CL90">
            <v>10225.68</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0.01</v>
          </cell>
          <cell r="DC90">
            <v>0.01</v>
          </cell>
          <cell r="DD90">
            <v>0.01</v>
          </cell>
          <cell r="DE90">
            <v>0.09</v>
          </cell>
          <cell r="DF90">
            <v>0.09</v>
          </cell>
          <cell r="DG90">
            <v>0.09</v>
          </cell>
          <cell r="DH90">
            <v>0.09</v>
          </cell>
        </row>
        <row r="91">
          <cell r="A91" t="str">
            <v>1460791</v>
          </cell>
          <cell r="B91" t="str">
            <v>1460791</v>
          </cell>
          <cell r="C91" t="str">
            <v>AR IC Emera Posting</v>
          </cell>
          <cell r="AO91">
            <v>0</v>
          </cell>
          <cell r="AP91">
            <v>0</v>
          </cell>
          <cell r="AQ91">
            <v>0</v>
          </cell>
          <cell r="AR91">
            <v>0</v>
          </cell>
          <cell r="AS91">
            <v>0</v>
          </cell>
          <cell r="AT91">
            <v>0</v>
          </cell>
          <cell r="AU91">
            <v>0</v>
          </cell>
          <cell r="AV91">
            <v>0</v>
          </cell>
          <cell r="AW91">
            <v>0</v>
          </cell>
          <cell r="AX91">
            <v>0</v>
          </cell>
          <cell r="AY91">
            <v>0</v>
          </cell>
          <cell r="AZ91">
            <v>1268</v>
          </cell>
          <cell r="BA91">
            <v>0</v>
          </cell>
          <cell r="BB91">
            <v>0</v>
          </cell>
          <cell r="BC91">
            <v>0</v>
          </cell>
          <cell r="BD91">
            <v>0</v>
          </cell>
          <cell r="BE91">
            <v>0</v>
          </cell>
          <cell r="BF91">
            <v>4340</v>
          </cell>
          <cell r="BG91">
            <v>0</v>
          </cell>
          <cell r="BH91">
            <v>0</v>
          </cell>
          <cell r="BI91">
            <v>15110.7</v>
          </cell>
          <cell r="BJ91">
            <v>0</v>
          </cell>
          <cell r="BK91">
            <v>0</v>
          </cell>
          <cell r="BL91">
            <v>14235</v>
          </cell>
          <cell r="BM91">
            <v>0</v>
          </cell>
          <cell r="BN91">
            <v>0</v>
          </cell>
          <cell r="BO91">
            <v>0</v>
          </cell>
          <cell r="BP91">
            <v>38130.42</v>
          </cell>
          <cell r="BQ91">
            <v>2480</v>
          </cell>
          <cell r="BR91">
            <v>0</v>
          </cell>
          <cell r="BS91">
            <v>0</v>
          </cell>
          <cell r="BT91">
            <v>0</v>
          </cell>
          <cell r="BU91">
            <v>0</v>
          </cell>
          <cell r="BV91">
            <v>0</v>
          </cell>
          <cell r="BW91">
            <v>0</v>
          </cell>
          <cell r="BX91">
            <v>93068</v>
          </cell>
          <cell r="BY91">
            <v>62828</v>
          </cell>
          <cell r="BZ91">
            <v>65389</v>
          </cell>
          <cell r="CA91">
            <v>85545</v>
          </cell>
          <cell r="CB91">
            <v>45003</v>
          </cell>
          <cell r="CC91">
            <v>69677</v>
          </cell>
          <cell r="CD91">
            <v>88296.5</v>
          </cell>
          <cell r="CE91">
            <v>59767</v>
          </cell>
          <cell r="CF91">
            <v>535321</v>
          </cell>
          <cell r="CG91">
            <v>255654.86</v>
          </cell>
          <cell r="CH91">
            <v>216829.37</v>
          </cell>
          <cell r="CI91">
            <v>273966.83</v>
          </cell>
          <cell r="CJ91">
            <v>265557.40999999997</v>
          </cell>
          <cell r="CK91">
            <v>207052.58</v>
          </cell>
          <cell r="CL91">
            <v>361102.67</v>
          </cell>
          <cell r="CM91">
            <v>268533.11</v>
          </cell>
          <cell r="CN91">
            <v>254956.27</v>
          </cell>
          <cell r="CO91">
            <v>487811.96</v>
          </cell>
          <cell r="CP91">
            <v>1623672.09</v>
          </cell>
          <cell r="CQ91">
            <v>2578706.04</v>
          </cell>
          <cell r="CR91">
            <v>2391309.62</v>
          </cell>
          <cell r="CS91">
            <v>1174824.8600000001</v>
          </cell>
          <cell r="CT91">
            <v>1478902.4</v>
          </cell>
          <cell r="CU91">
            <v>265505.61</v>
          </cell>
          <cell r="CV91">
            <v>243017.09</v>
          </cell>
          <cell r="CW91">
            <v>1168548.56</v>
          </cell>
          <cell r="CX91">
            <v>254460.39</v>
          </cell>
          <cell r="CY91">
            <v>1619546.36</v>
          </cell>
          <cell r="CZ91">
            <v>233080.91</v>
          </cell>
          <cell r="DA91">
            <v>4503860.24</v>
          </cell>
          <cell r="DB91">
            <v>6456321.3799999999</v>
          </cell>
          <cell r="DC91">
            <v>3408609.92</v>
          </cell>
          <cell r="DD91">
            <v>4656639.3899999997</v>
          </cell>
          <cell r="DE91">
            <v>3330609.55</v>
          </cell>
          <cell r="DF91">
            <v>426380.08</v>
          </cell>
          <cell r="DG91">
            <v>368934.55</v>
          </cell>
          <cell r="DH91">
            <v>1547116.99</v>
          </cell>
        </row>
        <row r="92">
          <cell r="A92" t="str">
            <v>1510050</v>
          </cell>
          <cell r="B92" t="str">
            <v>1510050</v>
          </cell>
          <cell r="C92" t="str">
            <v>Fuel Stock - Natural</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row>
        <row r="93">
          <cell r="A93" t="str">
            <v>1540000</v>
          </cell>
          <cell r="B93" t="str">
            <v>1540000</v>
          </cell>
          <cell r="C93" t="str">
            <v>Plant M&amp;S RECON</v>
          </cell>
          <cell r="D93">
            <v>3062782.86</v>
          </cell>
          <cell r="E93">
            <v>2461744.83</v>
          </cell>
          <cell r="F93">
            <v>2565528.77</v>
          </cell>
          <cell r="G93">
            <v>2101725.61</v>
          </cell>
          <cell r="H93">
            <v>2087172.27</v>
          </cell>
          <cell r="I93">
            <v>1960379.72</v>
          </cell>
          <cell r="J93">
            <v>1883606.53</v>
          </cell>
          <cell r="K93">
            <v>1886869.5</v>
          </cell>
          <cell r="L93">
            <v>1975215.06</v>
          </cell>
          <cell r="M93">
            <v>1938993.96</v>
          </cell>
          <cell r="N93">
            <v>1755238.86</v>
          </cell>
          <cell r="O93">
            <v>1763112.05</v>
          </cell>
          <cell r="P93">
            <v>1799639.2</v>
          </cell>
          <cell r="Q93">
            <v>1795256.79</v>
          </cell>
          <cell r="R93">
            <v>1882330.62</v>
          </cell>
          <cell r="S93">
            <v>1995646.83</v>
          </cell>
          <cell r="T93">
            <v>1941364.49</v>
          </cell>
          <cell r="U93">
            <v>1971050.56</v>
          </cell>
          <cell r="V93">
            <v>2109939.8199999998</v>
          </cell>
          <cell r="W93">
            <v>2392366.35</v>
          </cell>
          <cell r="X93">
            <v>2373514.0699999998</v>
          </cell>
          <cell r="Y93">
            <v>2155566.11</v>
          </cell>
          <cell r="Z93">
            <v>2415372.61</v>
          </cell>
          <cell r="AA93">
            <v>2065067.07</v>
          </cell>
          <cell r="AB93">
            <v>1793094.38</v>
          </cell>
          <cell r="AC93">
            <v>1876254.86</v>
          </cell>
          <cell r="AD93">
            <v>1981157.8</v>
          </cell>
          <cell r="AE93">
            <v>1959619.57</v>
          </cell>
          <cell r="AF93">
            <v>1899603.24</v>
          </cell>
          <cell r="AG93">
            <v>2257611.46</v>
          </cell>
          <cell r="AH93">
            <v>2468008.77</v>
          </cell>
          <cell r="AI93">
            <v>1956116.69</v>
          </cell>
          <cell r="AJ93">
            <v>1919024.36</v>
          </cell>
          <cell r="AK93">
            <v>2077150.46</v>
          </cell>
          <cell r="AL93">
            <v>1860636.12</v>
          </cell>
          <cell r="AM93">
            <v>1623395.73</v>
          </cell>
          <cell r="AN93">
            <v>1653159.73</v>
          </cell>
          <cell r="AO93">
            <v>1858855.81</v>
          </cell>
          <cell r="AP93">
            <v>1904817.91</v>
          </cell>
          <cell r="AQ93">
            <v>1988687.66</v>
          </cell>
          <cell r="AR93">
            <v>1926638.87</v>
          </cell>
          <cell r="AS93">
            <v>2100729.92</v>
          </cell>
          <cell r="AT93">
            <v>2046668.36</v>
          </cell>
          <cell r="AU93">
            <v>2071037.68</v>
          </cell>
          <cell r="AV93">
            <v>2016818.42</v>
          </cell>
          <cell r="AW93">
            <v>2131647.7999999998</v>
          </cell>
          <cell r="AX93">
            <v>2042216.68</v>
          </cell>
          <cell r="AY93">
            <v>1900584.82</v>
          </cell>
          <cell r="AZ93">
            <v>1887695.39</v>
          </cell>
          <cell r="BA93">
            <v>2070997.65</v>
          </cell>
          <cell r="BB93">
            <v>2149876.11</v>
          </cell>
          <cell r="BC93">
            <v>2006690.32</v>
          </cell>
          <cell r="BD93">
            <v>1972097.67</v>
          </cell>
          <cell r="BE93">
            <v>2190177.17</v>
          </cell>
          <cell r="BF93">
            <v>2163452.0299999998</v>
          </cell>
          <cell r="BG93">
            <v>2125576.85</v>
          </cell>
          <cell r="BH93">
            <v>2476378.0499999998</v>
          </cell>
          <cell r="BI93">
            <v>2741218.33</v>
          </cell>
          <cell r="BJ93">
            <v>2360109.85</v>
          </cell>
          <cell r="BK93">
            <v>2172177.2200000002</v>
          </cell>
          <cell r="BL93">
            <v>2073130.1</v>
          </cell>
          <cell r="BM93">
            <v>2183604.33</v>
          </cell>
          <cell r="BN93">
            <v>2363788.79</v>
          </cell>
          <cell r="BO93">
            <v>2385549.1</v>
          </cell>
          <cell r="BP93">
            <v>2474715.5499999998</v>
          </cell>
          <cell r="BQ93">
            <v>2512819.36</v>
          </cell>
          <cell r="BR93">
            <v>2780054.56</v>
          </cell>
          <cell r="BS93">
            <v>2687237.82</v>
          </cell>
          <cell r="BT93">
            <v>2783190.01</v>
          </cell>
          <cell r="BU93">
            <v>2571701.88</v>
          </cell>
          <cell r="BV93">
            <v>2738670.95</v>
          </cell>
          <cell r="BW93">
            <v>2709384.59</v>
          </cell>
          <cell r="BX93">
            <v>2401228.73</v>
          </cell>
          <cell r="BY93">
            <v>2400792.73</v>
          </cell>
          <cell r="BZ93">
            <v>2617789.75</v>
          </cell>
          <cell r="CA93">
            <v>2444409.17</v>
          </cell>
          <cell r="CB93">
            <v>2661159.0499999998</v>
          </cell>
          <cell r="CC93">
            <v>2807189.21</v>
          </cell>
          <cell r="CD93">
            <v>2832085.74</v>
          </cell>
          <cell r="CE93">
            <v>2649768.37</v>
          </cell>
          <cell r="CF93">
            <v>2895960.3</v>
          </cell>
          <cell r="CG93">
            <v>2763278.25</v>
          </cell>
          <cell r="CH93">
            <v>3044537</v>
          </cell>
          <cell r="CI93">
            <v>2851203.61</v>
          </cell>
          <cell r="CJ93">
            <v>2998336.09</v>
          </cell>
          <cell r="CK93">
            <v>3185968.43</v>
          </cell>
          <cell r="CL93">
            <v>3089869.03</v>
          </cell>
          <cell r="CM93">
            <v>3262009.15</v>
          </cell>
          <cell r="CN93">
            <v>3750227.49</v>
          </cell>
          <cell r="CO93">
            <v>3835254.8</v>
          </cell>
          <cell r="CP93">
            <v>4186310.55</v>
          </cell>
          <cell r="CQ93">
            <v>3842946.45</v>
          </cell>
          <cell r="CR93">
            <v>4056172.35</v>
          </cell>
          <cell r="CS93">
            <v>4544331.8499999996</v>
          </cell>
          <cell r="CT93">
            <v>4167012.26</v>
          </cell>
          <cell r="CU93">
            <v>4010626.99</v>
          </cell>
          <cell r="CV93">
            <v>2635011.9900000002</v>
          </cell>
          <cell r="CW93">
            <v>3634159.02</v>
          </cell>
          <cell r="CX93">
            <v>3462773.67</v>
          </cell>
          <cell r="CY93">
            <v>3847498.79</v>
          </cell>
          <cell r="CZ93">
            <v>4272214.34</v>
          </cell>
          <cell r="DA93">
            <v>4533297.7300000004</v>
          </cell>
          <cell r="DB93">
            <v>4553497.25</v>
          </cell>
          <cell r="DC93">
            <v>4636479.63</v>
          </cell>
          <cell r="DD93">
            <v>4527009.3</v>
          </cell>
          <cell r="DE93">
            <v>5185663.9400000004</v>
          </cell>
          <cell r="DF93">
            <v>6167061.3200000003</v>
          </cell>
          <cell r="DG93">
            <v>6268299.8899999997</v>
          </cell>
          <cell r="DH93">
            <v>4817154.4800000004</v>
          </cell>
        </row>
        <row r="94">
          <cell r="A94" t="str">
            <v>1540001</v>
          </cell>
          <cell r="B94" t="str">
            <v>1540001</v>
          </cell>
          <cell r="C94" t="str">
            <v>Plant M&amp;S Posting</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121567.51</v>
          </cell>
          <cell r="AC94">
            <v>0</v>
          </cell>
          <cell r="AD94">
            <v>0</v>
          </cell>
          <cell r="AE94">
            <v>0</v>
          </cell>
          <cell r="AF94">
            <v>0</v>
          </cell>
          <cell r="AG94">
            <v>0</v>
          </cell>
          <cell r="AH94">
            <v>-659863.47</v>
          </cell>
          <cell r="AI94">
            <v>0</v>
          </cell>
          <cell r="AJ94">
            <v>0</v>
          </cell>
          <cell r="AK94">
            <v>0</v>
          </cell>
          <cell r="AL94">
            <v>0</v>
          </cell>
          <cell r="AM94">
            <v>0</v>
          </cell>
          <cell r="AN94">
            <v>47542.67</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row>
        <row r="95">
          <cell r="A95" t="str">
            <v>1641000</v>
          </cell>
          <cell r="B95" t="str">
            <v>1641000</v>
          </cell>
          <cell r="C95" t="str">
            <v>Gas Stored-Current</v>
          </cell>
          <cell r="D95">
            <v>0</v>
          </cell>
          <cell r="E95">
            <v>0</v>
          </cell>
          <cell r="F95">
            <v>0</v>
          </cell>
          <cell r="G95">
            <v>0</v>
          </cell>
          <cell r="H95">
            <v>0</v>
          </cell>
          <cell r="I95">
            <v>674234.7</v>
          </cell>
          <cell r="J95">
            <v>915628.68</v>
          </cell>
          <cell r="K95">
            <v>566433.19999999995</v>
          </cell>
          <cell r="L95">
            <v>526874.73</v>
          </cell>
          <cell r="M95">
            <v>526874.73</v>
          </cell>
          <cell r="N95">
            <v>371458.67</v>
          </cell>
          <cell r="O95">
            <v>371458.67</v>
          </cell>
          <cell r="P95">
            <v>0.09</v>
          </cell>
          <cell r="Q95">
            <v>0.09</v>
          </cell>
          <cell r="R95">
            <v>126382.76</v>
          </cell>
          <cell r="S95">
            <v>126462.97</v>
          </cell>
          <cell r="T95">
            <v>303357.52</v>
          </cell>
          <cell r="U95">
            <v>328220.69</v>
          </cell>
          <cell r="V95">
            <v>152306.04</v>
          </cell>
          <cell r="W95">
            <v>275336.45</v>
          </cell>
          <cell r="X95">
            <v>188053.91</v>
          </cell>
          <cell r="Y95">
            <v>274691.52</v>
          </cell>
          <cell r="Z95">
            <v>274691.52</v>
          </cell>
          <cell r="AA95">
            <v>234990.37</v>
          </cell>
          <cell r="AB95">
            <v>158626.06</v>
          </cell>
          <cell r="AC95">
            <v>116977.52</v>
          </cell>
          <cell r="AD95">
            <v>141290.51999999999</v>
          </cell>
          <cell r="AE95">
            <v>180751.19</v>
          </cell>
          <cell r="AF95">
            <v>128606.99</v>
          </cell>
          <cell r="AG95">
            <v>175062.51</v>
          </cell>
          <cell r="AH95">
            <v>175779.32</v>
          </cell>
          <cell r="AI95">
            <v>159177.10999999999</v>
          </cell>
          <cell r="AJ95">
            <v>610201.92000000004</v>
          </cell>
          <cell r="AK95">
            <v>610201.92000000004</v>
          </cell>
          <cell r="AL95">
            <v>537006.63</v>
          </cell>
          <cell r="AM95">
            <v>537006.63</v>
          </cell>
          <cell r="AN95">
            <v>376420.21</v>
          </cell>
          <cell r="AO95">
            <v>332841.99</v>
          </cell>
          <cell r="AP95">
            <v>441100.59</v>
          </cell>
          <cell r="AQ95">
            <v>276589.73</v>
          </cell>
          <cell r="AR95">
            <v>326172.79999999999</v>
          </cell>
          <cell r="AS95">
            <v>326172.79999999999</v>
          </cell>
          <cell r="AT95">
            <v>467078.08</v>
          </cell>
          <cell r="AU95">
            <v>344971.23</v>
          </cell>
          <cell r="AV95">
            <v>354483.55</v>
          </cell>
          <cell r="AW95">
            <v>-2.37</v>
          </cell>
          <cell r="AX95">
            <v>-2.37</v>
          </cell>
          <cell r="AY95">
            <v>-2.37</v>
          </cell>
          <cell r="AZ95">
            <v>-2.37</v>
          </cell>
          <cell r="BA95">
            <v>-2.37</v>
          </cell>
          <cell r="BB95">
            <v>-2.37</v>
          </cell>
          <cell r="BC95">
            <v>-2.37</v>
          </cell>
          <cell r="BD95">
            <v>-2.37</v>
          </cell>
          <cell r="BE95">
            <v>-2.37</v>
          </cell>
          <cell r="BF95">
            <v>-2.37</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995777.75</v>
          </cell>
          <cell r="CV95">
            <v>864732.09</v>
          </cell>
          <cell r="CW95">
            <v>891567.41</v>
          </cell>
          <cell r="CX95">
            <v>785937.6</v>
          </cell>
          <cell r="CY95">
            <v>566425.01</v>
          </cell>
          <cell r="CZ95">
            <v>566425.01</v>
          </cell>
          <cell r="DA95">
            <v>566425.01</v>
          </cell>
          <cell r="DB95">
            <v>708429.13</v>
          </cell>
          <cell r="DC95">
            <v>708429.13</v>
          </cell>
          <cell r="DD95">
            <v>703621.83</v>
          </cell>
          <cell r="DE95">
            <v>769733.98</v>
          </cell>
          <cell r="DF95">
            <v>933797.04</v>
          </cell>
          <cell r="DG95">
            <v>959432.51</v>
          </cell>
          <cell r="DH95">
            <v>413689.47</v>
          </cell>
        </row>
        <row r="96">
          <cell r="A96" t="str">
            <v>1650040</v>
          </cell>
          <cell r="B96" t="str">
            <v>1650040</v>
          </cell>
          <cell r="C96" t="str">
            <v>Prepaid Permits</v>
          </cell>
          <cell r="D96">
            <v>82000</v>
          </cell>
          <cell r="E96">
            <v>82000</v>
          </cell>
          <cell r="F96">
            <v>82000</v>
          </cell>
          <cell r="G96">
            <v>82000</v>
          </cell>
          <cell r="H96">
            <v>82000</v>
          </cell>
          <cell r="I96">
            <v>82000</v>
          </cell>
          <cell r="J96">
            <v>82000</v>
          </cell>
          <cell r="K96">
            <v>82000</v>
          </cell>
          <cell r="L96">
            <v>82000</v>
          </cell>
          <cell r="M96">
            <v>82000</v>
          </cell>
          <cell r="N96">
            <v>82000</v>
          </cell>
          <cell r="O96">
            <v>82000</v>
          </cell>
          <cell r="P96">
            <v>82000</v>
          </cell>
          <cell r="Q96">
            <v>82000</v>
          </cell>
          <cell r="R96">
            <v>82000</v>
          </cell>
          <cell r="S96">
            <v>82000</v>
          </cell>
          <cell r="T96">
            <v>82000</v>
          </cell>
          <cell r="U96">
            <v>82000</v>
          </cell>
          <cell r="V96">
            <v>82000</v>
          </cell>
          <cell r="W96">
            <v>82000</v>
          </cell>
          <cell r="X96">
            <v>82000</v>
          </cell>
          <cell r="Y96">
            <v>82000</v>
          </cell>
          <cell r="Z96">
            <v>82000</v>
          </cell>
          <cell r="AA96">
            <v>82000</v>
          </cell>
          <cell r="AB96">
            <v>0</v>
          </cell>
          <cell r="AC96">
            <v>82000</v>
          </cell>
          <cell r="AD96">
            <v>82000</v>
          </cell>
          <cell r="AE96">
            <v>82000</v>
          </cell>
          <cell r="AF96">
            <v>82000</v>
          </cell>
          <cell r="AG96">
            <v>82000</v>
          </cell>
          <cell r="AH96">
            <v>82000</v>
          </cell>
          <cell r="AI96">
            <v>82000</v>
          </cell>
          <cell r="AJ96">
            <v>82000</v>
          </cell>
          <cell r="AK96">
            <v>82000</v>
          </cell>
          <cell r="AL96">
            <v>82000</v>
          </cell>
          <cell r="AM96">
            <v>82000</v>
          </cell>
          <cell r="AN96">
            <v>82000</v>
          </cell>
          <cell r="AO96">
            <v>82000</v>
          </cell>
          <cell r="AP96">
            <v>82000</v>
          </cell>
          <cell r="AQ96">
            <v>82000</v>
          </cell>
          <cell r="AR96">
            <v>82000</v>
          </cell>
          <cell r="AS96">
            <v>82000</v>
          </cell>
          <cell r="AT96">
            <v>82000</v>
          </cell>
          <cell r="AU96">
            <v>82000</v>
          </cell>
          <cell r="AV96">
            <v>82000</v>
          </cell>
          <cell r="AW96">
            <v>82000</v>
          </cell>
          <cell r="AX96">
            <v>82000</v>
          </cell>
          <cell r="AY96">
            <v>82000</v>
          </cell>
          <cell r="AZ96">
            <v>0</v>
          </cell>
          <cell r="BA96">
            <v>82000</v>
          </cell>
          <cell r="BB96">
            <v>82000</v>
          </cell>
          <cell r="BC96">
            <v>82000</v>
          </cell>
          <cell r="BD96">
            <v>82000</v>
          </cell>
          <cell r="BE96">
            <v>82000</v>
          </cell>
          <cell r="BF96">
            <v>82000</v>
          </cell>
          <cell r="BG96">
            <v>82000</v>
          </cell>
          <cell r="BH96">
            <v>82000</v>
          </cell>
          <cell r="BI96">
            <v>82000</v>
          </cell>
          <cell r="BJ96">
            <v>82000</v>
          </cell>
          <cell r="BK96">
            <v>82000</v>
          </cell>
          <cell r="BL96">
            <v>0</v>
          </cell>
          <cell r="BM96">
            <v>0</v>
          </cell>
          <cell r="BN96">
            <v>82000</v>
          </cell>
          <cell r="BO96">
            <v>82000</v>
          </cell>
          <cell r="BP96">
            <v>82000</v>
          </cell>
          <cell r="BQ96">
            <v>82000</v>
          </cell>
          <cell r="BR96">
            <v>82000</v>
          </cell>
          <cell r="BS96">
            <v>82000</v>
          </cell>
          <cell r="BT96">
            <v>82000</v>
          </cell>
          <cell r="BU96">
            <v>82000</v>
          </cell>
          <cell r="BV96">
            <v>82000</v>
          </cell>
          <cell r="BW96">
            <v>82000</v>
          </cell>
          <cell r="BX96">
            <v>82000</v>
          </cell>
          <cell r="BY96">
            <v>82000</v>
          </cell>
          <cell r="BZ96">
            <v>82000</v>
          </cell>
          <cell r="CA96">
            <v>82000</v>
          </cell>
          <cell r="CB96">
            <v>82000</v>
          </cell>
          <cell r="CC96">
            <v>82000</v>
          </cell>
          <cell r="CD96">
            <v>82000</v>
          </cell>
          <cell r="CE96">
            <v>82000</v>
          </cell>
          <cell r="CF96">
            <v>82000</v>
          </cell>
          <cell r="CG96">
            <v>82000</v>
          </cell>
          <cell r="CH96">
            <v>82000</v>
          </cell>
          <cell r="CI96">
            <v>82000</v>
          </cell>
          <cell r="CJ96">
            <v>0</v>
          </cell>
          <cell r="CK96">
            <v>82000</v>
          </cell>
          <cell r="CL96">
            <v>82000</v>
          </cell>
          <cell r="CM96">
            <v>82000</v>
          </cell>
          <cell r="CN96">
            <v>82000</v>
          </cell>
          <cell r="CO96">
            <v>82000</v>
          </cell>
          <cell r="CP96">
            <v>82000</v>
          </cell>
          <cell r="CQ96">
            <v>82000</v>
          </cell>
          <cell r="CR96">
            <v>82000</v>
          </cell>
          <cell r="CS96">
            <v>82000</v>
          </cell>
          <cell r="CT96">
            <v>82000</v>
          </cell>
          <cell r="CU96">
            <v>82000</v>
          </cell>
          <cell r="CV96">
            <v>0</v>
          </cell>
          <cell r="CW96">
            <v>82000</v>
          </cell>
          <cell r="CX96">
            <v>82000</v>
          </cell>
          <cell r="CY96">
            <v>82000</v>
          </cell>
          <cell r="CZ96">
            <v>82000</v>
          </cell>
          <cell r="DA96">
            <v>82000</v>
          </cell>
          <cell r="DB96">
            <v>82000</v>
          </cell>
          <cell r="DC96">
            <v>82000</v>
          </cell>
          <cell r="DD96">
            <v>82000</v>
          </cell>
          <cell r="DE96">
            <v>82000</v>
          </cell>
          <cell r="DF96">
            <v>82000</v>
          </cell>
          <cell r="DG96">
            <v>82000</v>
          </cell>
          <cell r="DH96">
            <v>82000</v>
          </cell>
        </row>
        <row r="97">
          <cell r="A97" t="str">
            <v>1650050</v>
          </cell>
          <cell r="B97" t="str">
            <v>1650050</v>
          </cell>
          <cell r="C97" t="str">
            <v>Prepaid LOC Fees</v>
          </cell>
          <cell r="D97">
            <v>347596.04</v>
          </cell>
          <cell r="E97">
            <v>342317.08</v>
          </cell>
          <cell r="F97">
            <v>337673.71</v>
          </cell>
          <cell r="G97">
            <v>331749.09999999998</v>
          </cell>
          <cell r="H97">
            <v>325822.06</v>
          </cell>
          <cell r="I97">
            <v>319898.02</v>
          </cell>
          <cell r="J97">
            <v>313973.98</v>
          </cell>
          <cell r="K97">
            <v>308049.94</v>
          </cell>
          <cell r="L97">
            <v>302125.90000000002</v>
          </cell>
          <cell r="M97">
            <v>302335.11</v>
          </cell>
          <cell r="N97">
            <v>300062.55</v>
          </cell>
          <cell r="O97">
            <v>294138.51</v>
          </cell>
          <cell r="P97">
            <v>288214.46999999997</v>
          </cell>
          <cell r="Q97">
            <v>282290.43</v>
          </cell>
          <cell r="R97">
            <v>276366.39</v>
          </cell>
          <cell r="S97">
            <v>317317.34999999998</v>
          </cell>
          <cell r="T97">
            <v>311393.31</v>
          </cell>
          <cell r="U97">
            <v>305469.27</v>
          </cell>
          <cell r="V97">
            <v>299545.23</v>
          </cell>
          <cell r="W97">
            <v>293621.19</v>
          </cell>
          <cell r="X97">
            <v>287697.15000000002</v>
          </cell>
          <cell r="Y97">
            <v>281773.11</v>
          </cell>
          <cell r="Z97">
            <v>275849.07</v>
          </cell>
          <cell r="AA97">
            <v>269925.03000000003</v>
          </cell>
          <cell r="AB97">
            <v>264000.99</v>
          </cell>
          <cell r="AC97">
            <v>258076.95</v>
          </cell>
          <cell r="AD97">
            <v>252152.91</v>
          </cell>
          <cell r="AE97">
            <v>246228.87</v>
          </cell>
          <cell r="AF97">
            <v>240304.83</v>
          </cell>
          <cell r="AG97">
            <v>234380.79</v>
          </cell>
          <cell r="AH97">
            <v>228456.75</v>
          </cell>
          <cell r="AI97">
            <v>222532.71</v>
          </cell>
          <cell r="AJ97">
            <v>216608.67</v>
          </cell>
          <cell r="AK97">
            <v>210684.63</v>
          </cell>
          <cell r="AL97">
            <v>204760.59</v>
          </cell>
          <cell r="AM97">
            <v>198836.55</v>
          </cell>
          <cell r="AN97">
            <v>192912.51</v>
          </cell>
          <cell r="AO97">
            <v>186988.47</v>
          </cell>
          <cell r="AP97">
            <v>181064.43</v>
          </cell>
          <cell r="AQ97">
            <v>411416.89</v>
          </cell>
          <cell r="AR97">
            <v>360736.07</v>
          </cell>
          <cell r="AS97">
            <v>353562.58</v>
          </cell>
          <cell r="AT97">
            <v>346454.07</v>
          </cell>
          <cell r="AU97">
            <v>339279.44</v>
          </cell>
          <cell r="AV97">
            <v>332257.71000000002</v>
          </cell>
          <cell r="AW97">
            <v>325120.26</v>
          </cell>
          <cell r="AX97">
            <v>317942.11</v>
          </cell>
          <cell r="AY97">
            <v>310763.96000000002</v>
          </cell>
          <cell r="AZ97">
            <v>303585.81</v>
          </cell>
          <cell r="BA97">
            <v>296407.65999999997</v>
          </cell>
          <cell r="BB97">
            <v>289229.51</v>
          </cell>
          <cell r="BC97">
            <v>329091.65000000002</v>
          </cell>
          <cell r="BD97">
            <v>322504.44</v>
          </cell>
          <cell r="BE97">
            <v>316379.13</v>
          </cell>
          <cell r="BF97">
            <v>309089.64</v>
          </cell>
          <cell r="BG97">
            <v>301860.03999999998</v>
          </cell>
          <cell r="BH97">
            <v>294630.44</v>
          </cell>
          <cell r="BI97">
            <v>287400.84000000003</v>
          </cell>
          <cell r="BJ97">
            <v>280171.24</v>
          </cell>
          <cell r="BK97">
            <v>272941.64</v>
          </cell>
          <cell r="BL97">
            <v>265712.03999999998</v>
          </cell>
          <cell r="BM97">
            <v>258482.44</v>
          </cell>
          <cell r="BN97">
            <v>251252.84</v>
          </cell>
          <cell r="BO97">
            <v>244023.24</v>
          </cell>
          <cell r="BP97">
            <v>236793.64</v>
          </cell>
          <cell r="BQ97">
            <v>229564.04</v>
          </cell>
          <cell r="BR97">
            <v>222334.44</v>
          </cell>
          <cell r="BS97">
            <v>215104.84</v>
          </cell>
          <cell r="BT97">
            <v>207875.24</v>
          </cell>
          <cell r="BU97">
            <v>200645.64</v>
          </cell>
          <cell r="BV97">
            <v>193416.04</v>
          </cell>
          <cell r="BW97">
            <v>186186.44</v>
          </cell>
          <cell r="BX97">
            <v>178956.84</v>
          </cell>
          <cell r="BY97">
            <v>171727.24</v>
          </cell>
          <cell r="BZ97">
            <v>206675.39</v>
          </cell>
          <cell r="CA97">
            <v>197758.68</v>
          </cell>
          <cell r="CB97">
            <v>188841.97</v>
          </cell>
          <cell r="CC97">
            <v>179925.26</v>
          </cell>
          <cell r="CD97">
            <v>171008.55</v>
          </cell>
          <cell r="CE97">
            <v>162091.84</v>
          </cell>
          <cell r="CF97">
            <v>153175.13</v>
          </cell>
          <cell r="CG97">
            <v>144258.42000000001</v>
          </cell>
          <cell r="CH97">
            <v>135341.71</v>
          </cell>
          <cell r="CI97">
            <v>127055.2</v>
          </cell>
          <cell r="CJ97">
            <v>546058.19999999995</v>
          </cell>
          <cell r="CK97">
            <v>523322.4</v>
          </cell>
          <cell r="CL97">
            <v>501883.79</v>
          </cell>
          <cell r="CM97">
            <v>492462.95</v>
          </cell>
          <cell r="CN97">
            <v>481675.22</v>
          </cell>
          <cell r="CO97">
            <v>461654.71</v>
          </cell>
          <cell r="CP97">
            <v>469914.48</v>
          </cell>
          <cell r="CQ97">
            <v>447537.6</v>
          </cell>
          <cell r="CR97">
            <v>434741.66</v>
          </cell>
          <cell r="CS97">
            <v>411860.52</v>
          </cell>
          <cell r="CT97">
            <v>389476.26</v>
          </cell>
          <cell r="CU97">
            <v>366833.88</v>
          </cell>
          <cell r="CV97">
            <v>922010.28</v>
          </cell>
          <cell r="CW97">
            <v>904202.35</v>
          </cell>
          <cell r="CX97">
            <v>886751.88</v>
          </cell>
          <cell r="CY97">
            <v>869243.6</v>
          </cell>
          <cell r="CZ97">
            <v>854139.97</v>
          </cell>
          <cell r="DA97">
            <v>836588.75</v>
          </cell>
          <cell r="DB97">
            <v>832332.96</v>
          </cell>
          <cell r="DC97">
            <v>813304.47</v>
          </cell>
          <cell r="DD97">
            <v>794275.98</v>
          </cell>
          <cell r="DE97">
            <v>775247.49</v>
          </cell>
          <cell r="DF97">
            <v>756219</v>
          </cell>
          <cell r="DG97">
            <v>737344.29</v>
          </cell>
          <cell r="DH97">
            <v>718315.8</v>
          </cell>
        </row>
        <row r="98">
          <cell r="A98" t="str">
            <v>1650500</v>
          </cell>
          <cell r="B98" t="str">
            <v>1650500</v>
          </cell>
          <cell r="C98" t="str">
            <v>PrePaid Ins Auto</v>
          </cell>
          <cell r="D98">
            <v>-0.06</v>
          </cell>
          <cell r="E98">
            <v>-0.06</v>
          </cell>
          <cell r="F98">
            <v>-0.06</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row>
        <row r="99">
          <cell r="A99" t="str">
            <v>1650502</v>
          </cell>
          <cell r="B99" t="str">
            <v>1650502</v>
          </cell>
          <cell r="C99" t="str">
            <v>PrePaid Ins Brokerag</v>
          </cell>
          <cell r="D99">
            <v>0.04</v>
          </cell>
          <cell r="E99">
            <v>0.04</v>
          </cell>
          <cell r="F99">
            <v>0.04</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row>
        <row r="100">
          <cell r="A100" t="str">
            <v>1650503</v>
          </cell>
          <cell r="B100" t="str">
            <v>1650503</v>
          </cell>
          <cell r="C100" t="str">
            <v>PrePaid Ins CrimeFid</v>
          </cell>
          <cell r="D100">
            <v>2271.79</v>
          </cell>
          <cell r="E100">
            <v>1893.16</v>
          </cell>
          <cell r="F100">
            <v>1514.53</v>
          </cell>
          <cell r="G100">
            <v>1135.9000000000001</v>
          </cell>
          <cell r="H100">
            <v>757.27</v>
          </cell>
          <cell r="I100">
            <v>378.64</v>
          </cell>
          <cell r="J100">
            <v>4816.03</v>
          </cell>
          <cell r="K100">
            <v>4414.6899999999996</v>
          </cell>
          <cell r="L100">
            <v>4013.35</v>
          </cell>
          <cell r="M100">
            <v>3612.01</v>
          </cell>
          <cell r="N100">
            <v>3210.67</v>
          </cell>
          <cell r="O100">
            <v>2809.33</v>
          </cell>
          <cell r="P100">
            <v>2407.9899999999998</v>
          </cell>
          <cell r="Q100">
            <v>2006.65</v>
          </cell>
          <cell r="R100">
            <v>1605.31</v>
          </cell>
          <cell r="S100">
            <v>1203.97</v>
          </cell>
          <cell r="T100">
            <v>802.63</v>
          </cell>
          <cell r="U100">
            <v>401.29</v>
          </cell>
          <cell r="V100">
            <v>4306.08</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row>
        <row r="101">
          <cell r="A101" t="str">
            <v>1650505</v>
          </cell>
          <cell r="B101" t="str">
            <v>1650505</v>
          </cell>
          <cell r="C101" t="str">
            <v>PrePaid Ins Err&amp;Omis</v>
          </cell>
          <cell r="D101">
            <v>12724.19</v>
          </cell>
          <cell r="E101">
            <v>10603.49</v>
          </cell>
          <cell r="F101">
            <v>8482.7900000000009</v>
          </cell>
          <cell r="G101">
            <v>6362.09</v>
          </cell>
          <cell r="H101">
            <v>4241.3900000000003</v>
          </cell>
          <cell r="I101">
            <v>2120.69</v>
          </cell>
          <cell r="J101">
            <v>-0.01</v>
          </cell>
          <cell r="K101">
            <v>24841.279999999999</v>
          </cell>
          <cell r="L101">
            <v>22582.98</v>
          </cell>
          <cell r="M101">
            <v>20324.68</v>
          </cell>
          <cell r="N101">
            <v>18066.38</v>
          </cell>
          <cell r="O101">
            <v>15808.08</v>
          </cell>
          <cell r="P101">
            <v>13549.78</v>
          </cell>
          <cell r="Q101">
            <v>11291.48</v>
          </cell>
          <cell r="R101">
            <v>9033.18</v>
          </cell>
          <cell r="S101">
            <v>6774.88</v>
          </cell>
          <cell r="T101">
            <v>4516.58</v>
          </cell>
          <cell r="U101">
            <v>2258.2800000000002</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row>
        <row r="102">
          <cell r="A102" t="str">
            <v>1650506</v>
          </cell>
          <cell r="B102" t="str">
            <v>1650506</v>
          </cell>
          <cell r="C102" t="str">
            <v>PrePaid Ins Exc Auto</v>
          </cell>
          <cell r="D102">
            <v>69245.679999999993</v>
          </cell>
          <cell r="E102">
            <v>57704.73</v>
          </cell>
          <cell r="F102">
            <v>46163.78</v>
          </cell>
          <cell r="G102">
            <v>34622.83</v>
          </cell>
          <cell r="H102">
            <v>23081.88</v>
          </cell>
          <cell r="I102">
            <v>11540.93</v>
          </cell>
          <cell r="J102">
            <v>-0.02</v>
          </cell>
          <cell r="K102">
            <v>138686.41</v>
          </cell>
          <cell r="L102">
            <v>126078.55</v>
          </cell>
          <cell r="M102">
            <v>113470.69</v>
          </cell>
          <cell r="N102">
            <v>100862.83</v>
          </cell>
          <cell r="O102">
            <v>88254.97</v>
          </cell>
          <cell r="P102">
            <v>75647.11</v>
          </cell>
          <cell r="Q102">
            <v>63039.25</v>
          </cell>
          <cell r="R102">
            <v>50431.39</v>
          </cell>
          <cell r="S102">
            <v>37823.53</v>
          </cell>
          <cell r="T102">
            <v>25215.67</v>
          </cell>
          <cell r="U102">
            <v>12607.81</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row>
        <row r="103">
          <cell r="A103" t="str">
            <v>1650507</v>
          </cell>
          <cell r="B103" t="str">
            <v>1650507</v>
          </cell>
          <cell r="C103" t="str">
            <v>PrePaid Ins Exc GL</v>
          </cell>
          <cell r="D103">
            <v>534559.14</v>
          </cell>
          <cell r="E103">
            <v>445465.93</v>
          </cell>
          <cell r="F103">
            <v>356372.72</v>
          </cell>
          <cell r="G103">
            <v>267279.51</v>
          </cell>
          <cell r="H103">
            <v>170465.6</v>
          </cell>
          <cell r="I103">
            <v>85232.8</v>
          </cell>
          <cell r="J103">
            <v>0</v>
          </cell>
          <cell r="K103">
            <v>1014184.39</v>
          </cell>
          <cell r="L103">
            <v>927842.92</v>
          </cell>
          <cell r="M103">
            <v>835058.63</v>
          </cell>
          <cell r="N103">
            <v>750061.56</v>
          </cell>
          <cell r="O103">
            <v>656303.86</v>
          </cell>
          <cell r="P103">
            <v>562546.16</v>
          </cell>
          <cell r="Q103">
            <v>468788.46</v>
          </cell>
          <cell r="R103">
            <v>375030.76</v>
          </cell>
          <cell r="S103">
            <v>281273.06</v>
          </cell>
          <cell r="T103">
            <v>187515.36</v>
          </cell>
          <cell r="U103">
            <v>93757.66</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row>
        <row r="104">
          <cell r="A104" t="str">
            <v>1650513</v>
          </cell>
          <cell r="B104" t="str">
            <v>1650513</v>
          </cell>
          <cell r="C104" t="str">
            <v>PrePaid Ins Practice</v>
          </cell>
          <cell r="D104">
            <v>14411.48</v>
          </cell>
          <cell r="E104">
            <v>12009.56</v>
          </cell>
          <cell r="F104">
            <v>9607.64</v>
          </cell>
          <cell r="G104">
            <v>7205.72</v>
          </cell>
          <cell r="H104">
            <v>4803.8</v>
          </cell>
          <cell r="I104">
            <v>2401.88</v>
          </cell>
          <cell r="J104">
            <v>-0.04</v>
          </cell>
          <cell r="K104">
            <v>30712.51</v>
          </cell>
          <cell r="L104">
            <v>27920.46</v>
          </cell>
          <cell r="M104">
            <v>25128.41</v>
          </cell>
          <cell r="N104">
            <v>22336.36</v>
          </cell>
          <cell r="O104">
            <v>19544.310000000001</v>
          </cell>
          <cell r="P104">
            <v>16752.259999999998</v>
          </cell>
          <cell r="Q104">
            <v>13960.21</v>
          </cell>
          <cell r="R104">
            <v>11168.16</v>
          </cell>
          <cell r="S104">
            <v>8376.11</v>
          </cell>
          <cell r="T104">
            <v>5584.06</v>
          </cell>
          <cell r="U104">
            <v>2792.01</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row>
        <row r="105">
          <cell r="A105" t="str">
            <v>1650514</v>
          </cell>
          <cell r="B105" t="str">
            <v>1650514</v>
          </cell>
          <cell r="C105" t="str">
            <v>PrePaid Ins Property</v>
          </cell>
          <cell r="D105">
            <v>24031.55</v>
          </cell>
          <cell r="E105">
            <v>15975.87</v>
          </cell>
          <cell r="F105">
            <v>7920.19</v>
          </cell>
          <cell r="G105">
            <v>-135.49</v>
          </cell>
          <cell r="H105">
            <v>84053.91</v>
          </cell>
          <cell r="I105">
            <v>76412.66</v>
          </cell>
          <cell r="J105">
            <v>68771.41</v>
          </cell>
          <cell r="K105">
            <v>61220.44</v>
          </cell>
          <cell r="L105">
            <v>53567.89</v>
          </cell>
          <cell r="M105">
            <v>45834.19</v>
          </cell>
          <cell r="N105">
            <v>41600.97</v>
          </cell>
          <cell r="O105">
            <v>33961.94</v>
          </cell>
          <cell r="P105">
            <v>23764.53</v>
          </cell>
          <cell r="Q105">
            <v>16125.5</v>
          </cell>
          <cell r="R105">
            <v>8486.4699999999993</v>
          </cell>
          <cell r="S105">
            <v>847.44</v>
          </cell>
          <cell r="T105">
            <v>65875.59</v>
          </cell>
          <cell r="U105">
            <v>60555.98</v>
          </cell>
          <cell r="V105">
            <v>54500.38</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row>
        <row r="106">
          <cell r="A106" t="str">
            <v>1650515</v>
          </cell>
          <cell r="B106" t="str">
            <v>1650515</v>
          </cell>
          <cell r="C106" t="str">
            <v>PrePaid Ins Punitive</v>
          </cell>
          <cell r="D106">
            <v>20971.99</v>
          </cell>
          <cell r="E106">
            <v>17476.79</v>
          </cell>
          <cell r="F106">
            <v>13981.59</v>
          </cell>
          <cell r="G106">
            <v>10486.39</v>
          </cell>
          <cell r="H106">
            <v>6991.19</v>
          </cell>
          <cell r="I106">
            <v>3495.99</v>
          </cell>
          <cell r="J106">
            <v>0.79</v>
          </cell>
          <cell r="K106">
            <v>41261.4</v>
          </cell>
          <cell r="L106">
            <v>37510.43</v>
          </cell>
          <cell r="M106">
            <v>33759.46</v>
          </cell>
          <cell r="N106">
            <v>30008.49</v>
          </cell>
          <cell r="O106">
            <v>26257.52</v>
          </cell>
          <cell r="P106">
            <v>22506.55</v>
          </cell>
          <cell r="Q106">
            <v>18755.580000000002</v>
          </cell>
          <cell r="R106">
            <v>15004.61</v>
          </cell>
          <cell r="S106">
            <v>11253.64</v>
          </cell>
          <cell r="T106">
            <v>7502.67</v>
          </cell>
          <cell r="U106">
            <v>3751.7</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row>
        <row r="107">
          <cell r="A107" t="str">
            <v>1650516</v>
          </cell>
          <cell r="B107" t="str">
            <v>1650516</v>
          </cell>
          <cell r="C107" t="str">
            <v>PrePaid Ins SpecRisk</v>
          </cell>
          <cell r="D107">
            <v>0</v>
          </cell>
          <cell r="E107">
            <v>0</v>
          </cell>
          <cell r="F107">
            <v>0</v>
          </cell>
          <cell r="G107">
            <v>0</v>
          </cell>
          <cell r="H107">
            <v>0</v>
          </cell>
          <cell r="I107">
            <v>0</v>
          </cell>
          <cell r="J107">
            <v>0</v>
          </cell>
          <cell r="K107">
            <v>0</v>
          </cell>
          <cell r="L107">
            <v>0</v>
          </cell>
          <cell r="M107">
            <v>0</v>
          </cell>
          <cell r="N107">
            <v>2682.4</v>
          </cell>
          <cell r="O107">
            <v>2438.5500000000002</v>
          </cell>
          <cell r="P107">
            <v>2194.6999999999998</v>
          </cell>
          <cell r="Q107">
            <v>1950.85</v>
          </cell>
          <cell r="R107">
            <v>1707</v>
          </cell>
          <cell r="S107">
            <v>1463.15</v>
          </cell>
          <cell r="T107">
            <v>1219.3</v>
          </cell>
          <cell r="U107">
            <v>975.45</v>
          </cell>
          <cell r="V107">
            <v>731.6</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row>
        <row r="108">
          <cell r="A108" t="str">
            <v>1650517</v>
          </cell>
          <cell r="B108" t="str">
            <v>1650517</v>
          </cell>
          <cell r="C108" t="str">
            <v>PrePaid Ins Surety</v>
          </cell>
          <cell r="D108">
            <v>0.01</v>
          </cell>
          <cell r="E108">
            <v>0.01</v>
          </cell>
          <cell r="F108">
            <v>0.01</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row>
        <row r="109">
          <cell r="A109" t="str">
            <v>1650518</v>
          </cell>
          <cell r="B109" t="str">
            <v>1650518</v>
          </cell>
          <cell r="C109" t="str">
            <v>PrePaid Ins Travel</v>
          </cell>
          <cell r="D109">
            <v>0</v>
          </cell>
          <cell r="E109">
            <v>853.5</v>
          </cell>
          <cell r="F109">
            <v>853.5</v>
          </cell>
          <cell r="G109">
            <v>853.5</v>
          </cell>
          <cell r="H109">
            <v>853.5</v>
          </cell>
          <cell r="I109">
            <v>853.5</v>
          </cell>
          <cell r="J109">
            <v>161.29</v>
          </cell>
          <cell r="K109">
            <v>853.5</v>
          </cell>
          <cell r="L109">
            <v>853.5</v>
          </cell>
          <cell r="M109">
            <v>853.5</v>
          </cell>
          <cell r="N109">
            <v>853.5</v>
          </cell>
          <cell r="O109">
            <v>853.5</v>
          </cell>
          <cell r="P109">
            <v>0</v>
          </cell>
          <cell r="Q109">
            <v>-853.5</v>
          </cell>
          <cell r="R109">
            <v>1204.67</v>
          </cell>
          <cell r="S109">
            <v>926.67</v>
          </cell>
          <cell r="T109">
            <v>1019.34</v>
          </cell>
          <cell r="U109">
            <v>648.66</v>
          </cell>
          <cell r="V109">
            <v>555.99</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row>
        <row r="110">
          <cell r="A110" t="str">
            <v>1650519</v>
          </cell>
          <cell r="B110" t="str">
            <v>1650519</v>
          </cell>
          <cell r="C110" t="str">
            <v>PrePaid Ins WC Exces</v>
          </cell>
          <cell r="D110">
            <v>63864.32</v>
          </cell>
          <cell r="E110">
            <v>53220.27</v>
          </cell>
          <cell r="F110">
            <v>42576.22</v>
          </cell>
          <cell r="G110">
            <v>31932.17</v>
          </cell>
          <cell r="H110">
            <v>21288.12</v>
          </cell>
          <cell r="I110">
            <v>10644.07</v>
          </cell>
          <cell r="J110">
            <v>0.02</v>
          </cell>
          <cell r="K110">
            <v>121865.13</v>
          </cell>
          <cell r="L110">
            <v>110786.48</v>
          </cell>
          <cell r="M110">
            <v>99707.83</v>
          </cell>
          <cell r="N110">
            <v>88629.18</v>
          </cell>
          <cell r="O110">
            <v>77550.53</v>
          </cell>
          <cell r="P110">
            <v>66471.88</v>
          </cell>
          <cell r="Q110">
            <v>55393.23</v>
          </cell>
          <cell r="R110">
            <v>44314.58</v>
          </cell>
          <cell r="S110">
            <v>33235.93</v>
          </cell>
          <cell r="T110">
            <v>22157.279999999999</v>
          </cell>
          <cell r="U110">
            <v>11078.63</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row>
        <row r="111">
          <cell r="A111" t="str">
            <v>1650520</v>
          </cell>
          <cell r="B111" t="str">
            <v>1650520</v>
          </cell>
          <cell r="C111" t="str">
            <v>PrePaid Ins WC State</v>
          </cell>
          <cell r="D111">
            <v>-0.03</v>
          </cell>
          <cell r="E111">
            <v>-0.03</v>
          </cell>
          <cell r="F111">
            <v>-0.03</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row>
        <row r="112">
          <cell r="A112" t="str">
            <v>1650599</v>
          </cell>
          <cell r="B112" t="str">
            <v>1650599</v>
          </cell>
          <cell r="C112" t="str">
            <v>PrePaid Insur</v>
          </cell>
          <cell r="D112">
            <v>0</v>
          </cell>
          <cell r="E112">
            <v>0</v>
          </cell>
          <cell r="F112">
            <v>0</v>
          </cell>
          <cell r="G112">
            <v>0</v>
          </cell>
          <cell r="H112">
            <v>0</v>
          </cell>
          <cell r="I112">
            <v>3780.46</v>
          </cell>
          <cell r="J112">
            <v>3780.46</v>
          </cell>
          <cell r="K112">
            <v>2835.34</v>
          </cell>
          <cell r="L112">
            <v>2520.3000000000002</v>
          </cell>
          <cell r="M112">
            <v>2015.65</v>
          </cell>
          <cell r="N112">
            <v>1700.61</v>
          </cell>
          <cell r="O112">
            <v>1385.57</v>
          </cell>
          <cell r="P112">
            <v>1070.53</v>
          </cell>
          <cell r="Q112">
            <v>755.49</v>
          </cell>
          <cell r="R112">
            <v>440.45</v>
          </cell>
          <cell r="S112">
            <v>125.41</v>
          </cell>
          <cell r="T112">
            <v>-189.63</v>
          </cell>
          <cell r="U112">
            <v>-504.67</v>
          </cell>
          <cell r="V112">
            <v>0</v>
          </cell>
          <cell r="W112">
            <v>1475458.46</v>
          </cell>
          <cell r="X112">
            <v>1339699.05</v>
          </cell>
          <cell r="Y112">
            <v>1203939.6399999999</v>
          </cell>
          <cell r="Z112">
            <v>1068180.23</v>
          </cell>
          <cell r="AA112">
            <v>932420.82</v>
          </cell>
          <cell r="AB112">
            <v>796661.44</v>
          </cell>
          <cell r="AC112">
            <v>661824.04</v>
          </cell>
          <cell r="AD112">
            <v>526081.9</v>
          </cell>
          <cell r="AE112">
            <v>390339.78</v>
          </cell>
          <cell r="AF112">
            <v>321294.40999999997</v>
          </cell>
          <cell r="AG112">
            <v>186105.79</v>
          </cell>
          <cell r="AH112">
            <v>52475.59</v>
          </cell>
          <cell r="AI112">
            <v>1406006.63</v>
          </cell>
          <cell r="AJ112">
            <v>1279284.32</v>
          </cell>
          <cell r="AK112">
            <v>1148904.1299999999</v>
          </cell>
          <cell r="AL112">
            <v>1019301.82</v>
          </cell>
          <cell r="AM112">
            <v>889699.51</v>
          </cell>
          <cell r="AN112">
            <v>1805779.65</v>
          </cell>
          <cell r="AO112">
            <v>1604154.32</v>
          </cell>
          <cell r="AP112">
            <v>1157541.3600000001</v>
          </cell>
          <cell r="AQ112">
            <v>1003395.93</v>
          </cell>
          <cell r="AR112">
            <v>873665.49</v>
          </cell>
          <cell r="AS112">
            <v>744269.69</v>
          </cell>
          <cell r="AT112">
            <v>614976.96</v>
          </cell>
          <cell r="AU112">
            <v>523500.21</v>
          </cell>
          <cell r="AV112">
            <v>397141.88</v>
          </cell>
          <cell r="AW112">
            <v>267963.33</v>
          </cell>
          <cell r="AX112">
            <v>138784.78</v>
          </cell>
          <cell r="AY112">
            <v>9606.23</v>
          </cell>
          <cell r="AZ112">
            <v>879739.83</v>
          </cell>
          <cell r="BA112">
            <v>1445318.78</v>
          </cell>
          <cell r="BB112">
            <v>1302159.8</v>
          </cell>
          <cell r="BC112">
            <v>1164520.72</v>
          </cell>
          <cell r="BD112">
            <v>1020090.27</v>
          </cell>
          <cell r="BE112">
            <v>881423.54</v>
          </cell>
          <cell r="BF112">
            <v>735131.63</v>
          </cell>
          <cell r="BG112">
            <v>588839.72</v>
          </cell>
          <cell r="BH112">
            <v>452513.08</v>
          </cell>
          <cell r="BI112">
            <v>314200.14</v>
          </cell>
          <cell r="BJ112">
            <v>166027.70000000001</v>
          </cell>
          <cell r="BK112">
            <v>17855.259999999998</v>
          </cell>
          <cell r="BL112">
            <v>75428.160000000003</v>
          </cell>
          <cell r="BM112">
            <v>1705445.95</v>
          </cell>
          <cell r="BN112">
            <v>1575414.92</v>
          </cell>
          <cell r="BO112">
            <v>1399338.11</v>
          </cell>
          <cell r="BP112">
            <v>1222824.17</v>
          </cell>
          <cell r="BQ112">
            <v>1046064.98</v>
          </cell>
          <cell r="BR112">
            <v>875121.34</v>
          </cell>
          <cell r="BS112">
            <v>721202.42</v>
          </cell>
          <cell r="BT112">
            <v>547447.39</v>
          </cell>
          <cell r="BU112">
            <v>370719.81</v>
          </cell>
          <cell r="BV112">
            <v>194298.8</v>
          </cell>
          <cell r="BW112">
            <v>21309.49</v>
          </cell>
          <cell r="BX112">
            <v>895645.02</v>
          </cell>
          <cell r="BY112">
            <v>2464223.79</v>
          </cell>
          <cell r="BZ112">
            <v>2359808.52</v>
          </cell>
          <cell r="CA112">
            <v>2133363.6</v>
          </cell>
          <cell r="CB112">
            <v>1906918.68</v>
          </cell>
          <cell r="CC112">
            <v>1685241.34</v>
          </cell>
          <cell r="CD112">
            <v>1395439.89</v>
          </cell>
          <cell r="CE112">
            <v>1158275.7</v>
          </cell>
          <cell r="CF112">
            <v>918815.87</v>
          </cell>
          <cell r="CG112">
            <v>711598.02</v>
          </cell>
          <cell r="CH112">
            <v>468967.95</v>
          </cell>
          <cell r="CI112">
            <v>227660.84</v>
          </cell>
          <cell r="CJ112">
            <v>88652.64</v>
          </cell>
          <cell r="CK112">
            <v>1617896.81</v>
          </cell>
          <cell r="CL112">
            <v>1476991.47</v>
          </cell>
          <cell r="CM112">
            <v>1198493.56</v>
          </cell>
          <cell r="CN112">
            <v>919995.65</v>
          </cell>
          <cell r="CO112">
            <v>675589.91</v>
          </cell>
          <cell r="CP112">
            <v>571916.23</v>
          </cell>
          <cell r="CQ112">
            <v>3320485.75</v>
          </cell>
          <cell r="CR112">
            <v>2975921.15</v>
          </cell>
          <cell r="CS112">
            <v>2575747.83</v>
          </cell>
          <cell r="CT112">
            <v>2175868.6800000002</v>
          </cell>
          <cell r="CU112">
            <v>1778930.33</v>
          </cell>
          <cell r="CV112">
            <v>1478700.95</v>
          </cell>
          <cell r="CW112">
            <v>3254305.43</v>
          </cell>
          <cell r="CX112">
            <v>2836834.99</v>
          </cell>
          <cell r="CY112">
            <v>2405899.56</v>
          </cell>
          <cell r="CZ112">
            <v>1974528.29</v>
          </cell>
          <cell r="DA112">
            <v>1543974.52</v>
          </cell>
          <cell r="DB112">
            <v>1436774.55</v>
          </cell>
          <cell r="DC112">
            <v>5139395.88</v>
          </cell>
          <cell r="DD112">
            <v>4703644.1900000004</v>
          </cell>
          <cell r="DE112">
            <v>4182155.35</v>
          </cell>
          <cell r="DF112">
            <v>3654176.03</v>
          </cell>
          <cell r="DG112">
            <v>3126196.71</v>
          </cell>
          <cell r="DH112">
            <v>2603056.69</v>
          </cell>
        </row>
        <row r="113">
          <cell r="A113" t="str">
            <v>1650800</v>
          </cell>
          <cell r="B113" t="str">
            <v>1650800</v>
          </cell>
          <cell r="C113" t="str">
            <v>Prepaid Misc-Other</v>
          </cell>
          <cell r="D113">
            <v>197100</v>
          </cell>
          <cell r="E113">
            <v>0</v>
          </cell>
          <cell r="F113">
            <v>0</v>
          </cell>
          <cell r="G113">
            <v>57754.33</v>
          </cell>
          <cell r="H113">
            <v>57754.33</v>
          </cell>
          <cell r="I113">
            <v>57754.33</v>
          </cell>
          <cell r="J113">
            <v>158115.13</v>
          </cell>
          <cell r="K113">
            <v>123055.02</v>
          </cell>
          <cell r="L113">
            <v>74894.600000000006</v>
          </cell>
          <cell r="M113">
            <v>64833.1</v>
          </cell>
          <cell r="N113">
            <v>43222.05</v>
          </cell>
          <cell r="O113">
            <v>33161.730000000003</v>
          </cell>
          <cell r="P113">
            <v>490822.36</v>
          </cell>
          <cell r="Q113">
            <v>338902.77</v>
          </cell>
          <cell r="R113">
            <v>308093.43</v>
          </cell>
          <cell r="S113">
            <v>277284.09000000003</v>
          </cell>
          <cell r="T113">
            <v>342601.68</v>
          </cell>
          <cell r="U113">
            <v>381891.77</v>
          </cell>
          <cell r="V113">
            <v>333058</v>
          </cell>
          <cell r="W113">
            <v>353513.69</v>
          </cell>
          <cell r="X113">
            <v>298380.88</v>
          </cell>
          <cell r="Y113">
            <v>275293.07</v>
          </cell>
          <cell r="Z113">
            <v>217489.84</v>
          </cell>
          <cell r="AA113">
            <v>159686.60999999999</v>
          </cell>
          <cell r="AB113">
            <v>825244.76</v>
          </cell>
          <cell r="AC113">
            <v>576466.67000000004</v>
          </cell>
          <cell r="AD113">
            <v>492061.85</v>
          </cell>
          <cell r="AE113">
            <v>607756.53</v>
          </cell>
          <cell r="AF113">
            <v>469743.82</v>
          </cell>
          <cell r="AG113">
            <v>433491.35</v>
          </cell>
          <cell r="AH113">
            <v>372042.72</v>
          </cell>
          <cell r="AI113">
            <v>347635.65</v>
          </cell>
          <cell r="AJ113">
            <v>298269.33</v>
          </cell>
          <cell r="AK113">
            <v>280821.48</v>
          </cell>
          <cell r="AL113">
            <v>174647.21</v>
          </cell>
          <cell r="AM113">
            <v>271421.44</v>
          </cell>
          <cell r="AN113">
            <v>491255.89</v>
          </cell>
          <cell r="AO113">
            <v>763937.12</v>
          </cell>
          <cell r="AP113">
            <v>992080.98</v>
          </cell>
          <cell r="AQ113">
            <v>997017.17</v>
          </cell>
          <cell r="AR113">
            <v>845100.35</v>
          </cell>
          <cell r="AS113">
            <v>758578.86</v>
          </cell>
          <cell r="AT113">
            <v>667625.72</v>
          </cell>
          <cell r="AU113">
            <v>588781.56999999995</v>
          </cell>
          <cell r="AV113">
            <v>491057.66</v>
          </cell>
          <cell r="AW113">
            <v>393333.75</v>
          </cell>
          <cell r="AX113">
            <v>276254.15000000002</v>
          </cell>
          <cell r="AY113">
            <v>178141.1</v>
          </cell>
          <cell r="AZ113">
            <v>363526.65</v>
          </cell>
          <cell r="BA113">
            <v>787445.95</v>
          </cell>
          <cell r="BB113">
            <v>987986.37</v>
          </cell>
          <cell r="BC113">
            <v>1172019.8</v>
          </cell>
          <cell r="BD113">
            <v>972902.87</v>
          </cell>
          <cell r="BE113">
            <v>888143.13</v>
          </cell>
          <cell r="BF113">
            <v>710763.53</v>
          </cell>
          <cell r="BG113">
            <v>508609.61</v>
          </cell>
          <cell r="BH113">
            <v>449339.42</v>
          </cell>
          <cell r="BI113">
            <v>347392.91</v>
          </cell>
          <cell r="BJ113">
            <v>277705.93</v>
          </cell>
          <cell r="BK113">
            <v>175759.42</v>
          </cell>
          <cell r="BL113">
            <v>278213.7</v>
          </cell>
          <cell r="BM113">
            <v>136401.48000000001</v>
          </cell>
          <cell r="BN113">
            <v>896065.26</v>
          </cell>
          <cell r="BO113">
            <v>830429.63</v>
          </cell>
          <cell r="BP113">
            <v>694410.62</v>
          </cell>
          <cell r="BQ113">
            <v>615895.75</v>
          </cell>
          <cell r="BR113">
            <v>537380.88</v>
          </cell>
          <cell r="BS113">
            <v>552272.93000000005</v>
          </cell>
          <cell r="BT113">
            <v>707771.26</v>
          </cell>
          <cell r="BU113">
            <v>897269.59</v>
          </cell>
          <cell r="BV113">
            <v>758763.78</v>
          </cell>
          <cell r="BW113">
            <v>677762.11</v>
          </cell>
          <cell r="BX113">
            <v>253176.9</v>
          </cell>
          <cell r="BY113">
            <v>839523.6</v>
          </cell>
          <cell r="BZ113">
            <v>841449.27</v>
          </cell>
          <cell r="CA113">
            <v>950870.19</v>
          </cell>
          <cell r="CB113">
            <v>792230.11</v>
          </cell>
          <cell r="CC113">
            <v>692155.03</v>
          </cell>
          <cell r="CD113">
            <v>884523.36</v>
          </cell>
          <cell r="CE113">
            <v>677753.68</v>
          </cell>
          <cell r="CF113">
            <v>668061.29</v>
          </cell>
          <cell r="CG113">
            <v>565399.52</v>
          </cell>
          <cell r="CH113">
            <v>357711.75</v>
          </cell>
          <cell r="CI113">
            <v>266649.78000000003</v>
          </cell>
          <cell r="CJ113">
            <v>522201.96</v>
          </cell>
          <cell r="CK113">
            <v>911507.14</v>
          </cell>
          <cell r="CL113">
            <v>1174404.8600000001</v>
          </cell>
          <cell r="CM113">
            <v>1284402.1000000001</v>
          </cell>
          <cell r="CN113">
            <v>1303245.05</v>
          </cell>
          <cell r="CO113">
            <v>1150437.48</v>
          </cell>
          <cell r="CP113">
            <v>1086649.8799999999</v>
          </cell>
          <cell r="CQ113">
            <v>909766.41</v>
          </cell>
          <cell r="CR113">
            <v>884902.52</v>
          </cell>
          <cell r="CS113">
            <v>757164.42</v>
          </cell>
          <cell r="CT113">
            <v>546830.56999999995</v>
          </cell>
          <cell r="CU113">
            <v>515342.47</v>
          </cell>
          <cell r="CV113">
            <v>1012319.19</v>
          </cell>
          <cell r="CW113">
            <v>1952727.69</v>
          </cell>
          <cell r="CX113">
            <v>2421894.58</v>
          </cell>
          <cell r="CY113">
            <v>1665359.79</v>
          </cell>
          <cell r="CZ113">
            <v>1772085.8</v>
          </cell>
          <cell r="DA113">
            <v>1444551.21</v>
          </cell>
          <cell r="DB113">
            <v>1236668.1100000001</v>
          </cell>
          <cell r="DC113">
            <v>1458247.18</v>
          </cell>
          <cell r="DD113">
            <v>1592592.64</v>
          </cell>
          <cell r="DE113">
            <v>941892.36</v>
          </cell>
          <cell r="DF113">
            <v>693586.63</v>
          </cell>
          <cell r="DG113">
            <v>484426.9</v>
          </cell>
          <cell r="DH113">
            <v>552245.15</v>
          </cell>
        </row>
        <row r="114">
          <cell r="A114" t="str">
            <v>1720101</v>
          </cell>
          <cell r="B114" t="str">
            <v>1720101</v>
          </cell>
          <cell r="C114" t="str">
            <v>Lease Rec C-GAAP</v>
          </cell>
          <cell r="AF114">
            <v>0</v>
          </cell>
          <cell r="AG114">
            <v>0</v>
          </cell>
          <cell r="AH114">
            <v>454460</v>
          </cell>
          <cell r="AI114">
            <v>480320</v>
          </cell>
          <cell r="AJ114">
            <v>506181</v>
          </cell>
          <cell r="AK114">
            <v>719930</v>
          </cell>
          <cell r="AL114">
            <v>777106</v>
          </cell>
          <cell r="AM114">
            <v>984015</v>
          </cell>
          <cell r="AN114">
            <v>1050147</v>
          </cell>
          <cell r="AO114">
            <v>1160341</v>
          </cell>
          <cell r="AP114">
            <v>1237678</v>
          </cell>
          <cell r="AQ114">
            <v>1315014</v>
          </cell>
          <cell r="AR114">
            <v>1335544</v>
          </cell>
          <cell r="AS114">
            <v>1356074</v>
          </cell>
          <cell r="AT114">
            <v>1376603</v>
          </cell>
          <cell r="AU114">
            <v>1397132</v>
          </cell>
          <cell r="AV114">
            <v>1417661</v>
          </cell>
          <cell r="AW114">
            <v>1438191</v>
          </cell>
          <cell r="AX114">
            <v>1438853</v>
          </cell>
          <cell r="AY114">
            <v>1439515</v>
          </cell>
          <cell r="AZ114">
            <v>1440177</v>
          </cell>
          <cell r="BA114">
            <v>1440840</v>
          </cell>
          <cell r="BB114">
            <v>1441503</v>
          </cell>
          <cell r="BC114">
            <v>1442164</v>
          </cell>
          <cell r="BD114">
            <v>1442827</v>
          </cell>
          <cell r="BE114">
            <v>1443489</v>
          </cell>
          <cell r="BF114">
            <v>1444152</v>
          </cell>
          <cell r="BG114">
            <v>1444813</v>
          </cell>
          <cell r="BH114">
            <v>1445476</v>
          </cell>
          <cell r="BI114">
            <v>1446139</v>
          </cell>
          <cell r="BJ114">
            <v>1446801</v>
          </cell>
          <cell r="BK114">
            <v>1447463</v>
          </cell>
          <cell r="BL114">
            <v>1448125</v>
          </cell>
          <cell r="BM114">
            <v>1448788</v>
          </cell>
          <cell r="BN114">
            <v>1449450</v>
          </cell>
          <cell r="BO114">
            <v>1450112</v>
          </cell>
          <cell r="BP114">
            <v>1435096</v>
          </cell>
          <cell r="BQ114">
            <v>1420081</v>
          </cell>
          <cell r="BR114">
            <v>1405066</v>
          </cell>
          <cell r="BS114">
            <v>1390050</v>
          </cell>
          <cell r="BT114">
            <v>1375034</v>
          </cell>
          <cell r="BU114">
            <v>1360018</v>
          </cell>
          <cell r="BV114">
            <v>1339520</v>
          </cell>
          <cell r="BW114">
            <v>1319021</v>
          </cell>
          <cell r="BX114">
            <v>1298523</v>
          </cell>
          <cell r="BY114">
            <v>1278025</v>
          </cell>
          <cell r="BZ114">
            <v>425128</v>
          </cell>
          <cell r="CA114">
            <v>1237027</v>
          </cell>
          <cell r="CB114">
            <v>1232206</v>
          </cell>
          <cell r="CC114">
            <v>1227386</v>
          </cell>
          <cell r="CD114">
            <v>1222565</v>
          </cell>
          <cell r="CE114">
            <v>1217744</v>
          </cell>
          <cell r="CF114">
            <v>1212923</v>
          </cell>
          <cell r="CG114">
            <v>1208103</v>
          </cell>
          <cell r="CH114">
            <v>1208766</v>
          </cell>
          <cell r="CI114">
            <v>1209427</v>
          </cell>
          <cell r="CJ114">
            <v>1210090</v>
          </cell>
          <cell r="CK114">
            <v>1210752</v>
          </cell>
          <cell r="CL114">
            <v>1211415</v>
          </cell>
          <cell r="CM114">
            <v>1212076</v>
          </cell>
          <cell r="CN114">
            <v>1212739</v>
          </cell>
          <cell r="CO114">
            <v>1213402</v>
          </cell>
          <cell r="CP114">
            <v>1214064</v>
          </cell>
          <cell r="CQ114">
            <v>1214726</v>
          </cell>
          <cell r="CR114">
            <v>1215388</v>
          </cell>
          <cell r="CS114">
            <v>1216051</v>
          </cell>
          <cell r="CT114">
            <v>1216713</v>
          </cell>
          <cell r="CU114">
            <v>1217375</v>
          </cell>
          <cell r="CV114">
            <v>1218037</v>
          </cell>
          <cell r="CW114">
            <v>1218700</v>
          </cell>
          <cell r="CX114">
            <v>1219362</v>
          </cell>
          <cell r="CY114">
            <v>904660</v>
          </cell>
          <cell r="CZ114">
            <v>905151</v>
          </cell>
          <cell r="DA114">
            <v>905642</v>
          </cell>
          <cell r="DB114">
            <v>906132</v>
          </cell>
          <cell r="DC114">
            <v>0</v>
          </cell>
          <cell r="DD114">
            <v>0</v>
          </cell>
          <cell r="DE114">
            <v>0</v>
          </cell>
          <cell r="DF114">
            <v>0</v>
          </cell>
          <cell r="DG114">
            <v>0</v>
          </cell>
          <cell r="DH114">
            <v>0</v>
          </cell>
        </row>
        <row r="115">
          <cell r="A115" t="str">
            <v>1720201</v>
          </cell>
          <cell r="B115" t="str">
            <v>1720201</v>
          </cell>
          <cell r="C115" t="str">
            <v>Lease Rec NC-GAAP</v>
          </cell>
          <cell r="AF115">
            <v>0</v>
          </cell>
          <cell r="AG115">
            <v>0</v>
          </cell>
          <cell r="AH115">
            <v>18028986</v>
          </cell>
          <cell r="AI115">
            <v>17971811</v>
          </cell>
          <cell r="AJ115">
            <v>17914635</v>
          </cell>
          <cell r="AK115">
            <v>17669571</v>
          </cell>
          <cell r="AL115">
            <v>17581081</v>
          </cell>
          <cell r="AM115">
            <v>23818101</v>
          </cell>
          <cell r="AN115">
            <v>23709701</v>
          </cell>
          <cell r="AO115">
            <v>23556827</v>
          </cell>
          <cell r="AP115">
            <v>23436811</v>
          </cell>
          <cell r="AQ115">
            <v>23316796</v>
          </cell>
          <cell r="AR115">
            <v>23196780</v>
          </cell>
          <cell r="AS115">
            <v>23076764</v>
          </cell>
          <cell r="AT115">
            <v>22956749</v>
          </cell>
          <cell r="AU115">
            <v>22836734</v>
          </cell>
          <cell r="AV115">
            <v>22716719</v>
          </cell>
          <cell r="AW115">
            <v>22596703</v>
          </cell>
          <cell r="AX115">
            <v>22476688</v>
          </cell>
          <cell r="AY115">
            <v>22356673</v>
          </cell>
          <cell r="AZ115">
            <v>22236658</v>
          </cell>
          <cell r="BA115">
            <v>22115980</v>
          </cell>
          <cell r="BB115">
            <v>21995302</v>
          </cell>
          <cell r="BC115">
            <v>21874626</v>
          </cell>
          <cell r="BD115">
            <v>21753948</v>
          </cell>
          <cell r="BE115">
            <v>21633271</v>
          </cell>
          <cell r="BF115">
            <v>21512587</v>
          </cell>
          <cell r="BG115">
            <v>21391910</v>
          </cell>
          <cell r="BH115">
            <v>21271232</v>
          </cell>
          <cell r="BI115">
            <v>21150554</v>
          </cell>
          <cell r="BJ115">
            <v>21029877</v>
          </cell>
          <cell r="BK115">
            <v>20909200</v>
          </cell>
          <cell r="BL115">
            <v>20788523</v>
          </cell>
          <cell r="BM115">
            <v>20667182</v>
          </cell>
          <cell r="BN115">
            <v>20545842</v>
          </cell>
          <cell r="BO115">
            <v>20424502</v>
          </cell>
          <cell r="BP115">
            <v>20318840</v>
          </cell>
          <cell r="BQ115">
            <v>20213177</v>
          </cell>
          <cell r="BR115">
            <v>20107514</v>
          </cell>
          <cell r="BS115">
            <v>20001853</v>
          </cell>
          <cell r="BT115">
            <v>19896192</v>
          </cell>
          <cell r="BU115">
            <v>19790531</v>
          </cell>
          <cell r="BV115">
            <v>19690351</v>
          </cell>
          <cell r="BW115">
            <v>19590172</v>
          </cell>
          <cell r="BX115">
            <v>19489992</v>
          </cell>
          <cell r="BY115">
            <v>19389149</v>
          </cell>
          <cell r="BZ115">
            <v>20120706</v>
          </cell>
          <cell r="CA115">
            <v>19187466</v>
          </cell>
          <cell r="CB115">
            <v>19086624</v>
          </cell>
          <cell r="CC115">
            <v>18985782</v>
          </cell>
          <cell r="CD115">
            <v>18884940</v>
          </cell>
          <cell r="CE115">
            <v>18784098</v>
          </cell>
          <cell r="CF115">
            <v>18683256</v>
          </cell>
          <cell r="CG115">
            <v>18582413</v>
          </cell>
          <cell r="CH115">
            <v>18481571</v>
          </cell>
          <cell r="CI115">
            <v>18380731</v>
          </cell>
          <cell r="CJ115">
            <v>18279889</v>
          </cell>
          <cell r="CK115">
            <v>18178386</v>
          </cell>
          <cell r="CL115">
            <v>18076881</v>
          </cell>
          <cell r="CM115">
            <v>17975379</v>
          </cell>
          <cell r="CN115">
            <v>17873875</v>
          </cell>
          <cell r="CO115">
            <v>17772371</v>
          </cell>
          <cell r="CP115">
            <v>17670868</v>
          </cell>
          <cell r="CQ115">
            <v>17569365</v>
          </cell>
          <cell r="CR115">
            <v>17467862</v>
          </cell>
          <cell r="CS115">
            <v>17366358</v>
          </cell>
          <cell r="CT115">
            <v>17264855</v>
          </cell>
          <cell r="CU115">
            <v>17163352</v>
          </cell>
          <cell r="CV115">
            <v>17061849</v>
          </cell>
          <cell r="CW115">
            <v>16959683</v>
          </cell>
          <cell r="CX115">
            <v>16857518</v>
          </cell>
          <cell r="CY115">
            <v>12296453</v>
          </cell>
          <cell r="CZ115">
            <v>12220696</v>
          </cell>
          <cell r="DA115">
            <v>12144939</v>
          </cell>
          <cell r="DB115">
            <v>12069183</v>
          </cell>
          <cell r="DC115">
            <v>0</v>
          </cell>
          <cell r="DD115">
            <v>0</v>
          </cell>
          <cell r="DE115">
            <v>0</v>
          </cell>
          <cell r="DF115">
            <v>0</v>
          </cell>
          <cell r="DG115">
            <v>0</v>
          </cell>
          <cell r="DH115">
            <v>0</v>
          </cell>
        </row>
        <row r="116">
          <cell r="A116" t="str">
            <v>1720202</v>
          </cell>
          <cell r="B116" t="str">
            <v>1720202</v>
          </cell>
          <cell r="C116" t="str">
            <v>Unearn Int LeaseGAAP</v>
          </cell>
          <cell r="AF116">
            <v>0</v>
          </cell>
          <cell r="AG116">
            <v>0</v>
          </cell>
          <cell r="AH116">
            <v>-10529937</v>
          </cell>
          <cell r="AI116">
            <v>-10464217</v>
          </cell>
          <cell r="AJ116">
            <v>-10398213</v>
          </cell>
          <cell r="AK116">
            <v>-10331923</v>
          </cell>
          <cell r="AL116">
            <v>-10265344</v>
          </cell>
          <cell r="AM116">
            <v>-13905135</v>
          </cell>
          <cell r="AN116">
            <v>-13815080</v>
          </cell>
          <cell r="AO116">
            <v>-13724630</v>
          </cell>
          <cell r="AP116">
            <v>-13633785</v>
          </cell>
          <cell r="AQ116">
            <v>-13542542</v>
          </cell>
          <cell r="AR116">
            <v>-13450898</v>
          </cell>
          <cell r="AS116">
            <v>-13359319</v>
          </cell>
          <cell r="AT116">
            <v>-13267805</v>
          </cell>
          <cell r="AU116">
            <v>-13176357</v>
          </cell>
          <cell r="AV116">
            <v>-13084976</v>
          </cell>
          <cell r="AW116">
            <v>-12993662</v>
          </cell>
          <cell r="AX116">
            <v>-12902415</v>
          </cell>
          <cell r="AY116">
            <v>-12811400</v>
          </cell>
          <cell r="AZ116">
            <v>-12720619</v>
          </cell>
          <cell r="BA116">
            <v>-12630075</v>
          </cell>
          <cell r="BB116">
            <v>-12539774</v>
          </cell>
          <cell r="BC116">
            <v>-12449719</v>
          </cell>
          <cell r="BD116">
            <v>-12359911</v>
          </cell>
          <cell r="BE116">
            <v>-12270354</v>
          </cell>
          <cell r="BF116">
            <v>-12181047</v>
          </cell>
          <cell r="BG116">
            <v>-12091994</v>
          </cell>
          <cell r="BH116">
            <v>-12003197</v>
          </cell>
          <cell r="BI116">
            <v>-11914658</v>
          </cell>
          <cell r="BJ116">
            <v>-11826379</v>
          </cell>
          <cell r="BK116">
            <v>-11738362</v>
          </cell>
          <cell r="BL116">
            <v>-11650609</v>
          </cell>
          <cell r="BM116">
            <v>-11563124</v>
          </cell>
          <cell r="BN116">
            <v>-11475913</v>
          </cell>
          <cell r="BO116">
            <v>-11388978</v>
          </cell>
          <cell r="BP116">
            <v>-11302322</v>
          </cell>
          <cell r="BQ116">
            <v>-11215947</v>
          </cell>
          <cell r="BR116">
            <v>-11129856</v>
          </cell>
          <cell r="BS116">
            <v>-11044051</v>
          </cell>
          <cell r="BT116">
            <v>-10958534</v>
          </cell>
          <cell r="BU116">
            <v>-10873308</v>
          </cell>
          <cell r="BV116">
            <v>-10788374</v>
          </cell>
          <cell r="BW116">
            <v>-10703736</v>
          </cell>
          <cell r="BX116">
            <v>-10619395</v>
          </cell>
          <cell r="BY116">
            <v>-10535355</v>
          </cell>
          <cell r="BZ116">
            <v>-10451623</v>
          </cell>
          <cell r="CA116">
            <v>-10368201</v>
          </cell>
          <cell r="CB116">
            <v>-10285093</v>
          </cell>
          <cell r="CC116">
            <v>-10202172</v>
          </cell>
          <cell r="CD116">
            <v>-10119439</v>
          </cell>
          <cell r="CE116">
            <v>-10036895</v>
          </cell>
          <cell r="CF116">
            <v>-9954542</v>
          </cell>
          <cell r="CG116">
            <v>-9872382</v>
          </cell>
          <cell r="CH116">
            <v>-9790417</v>
          </cell>
          <cell r="CI116">
            <v>-9708602</v>
          </cell>
          <cell r="CJ116">
            <v>-9626825</v>
          </cell>
          <cell r="CK116">
            <v>-9545429</v>
          </cell>
          <cell r="CL116">
            <v>-9464078</v>
          </cell>
          <cell r="CM116">
            <v>-9382889</v>
          </cell>
          <cell r="CN116">
            <v>-9301862</v>
          </cell>
          <cell r="CO116">
            <v>-9220998</v>
          </cell>
          <cell r="CP116">
            <v>-9140300</v>
          </cell>
          <cell r="CQ116">
            <v>-9059768</v>
          </cell>
          <cell r="CR116">
            <v>-8979404</v>
          </cell>
          <cell r="CS116">
            <v>-8899209</v>
          </cell>
          <cell r="CT116">
            <v>-8819185</v>
          </cell>
          <cell r="CU116">
            <v>-8739332</v>
          </cell>
          <cell r="CV116">
            <v>-8659654</v>
          </cell>
          <cell r="CW116">
            <v>-8580151</v>
          </cell>
          <cell r="CX116">
            <v>-8500828</v>
          </cell>
          <cell r="CY116">
            <v>-6147581</v>
          </cell>
          <cell r="CZ116">
            <v>-6089298</v>
          </cell>
          <cell r="DA116">
            <v>-6031155</v>
          </cell>
          <cell r="DB116">
            <v>-5973154</v>
          </cell>
          <cell r="DC116">
            <v>0</v>
          </cell>
          <cell r="DD116">
            <v>0</v>
          </cell>
          <cell r="DE116">
            <v>0</v>
          </cell>
          <cell r="DF116">
            <v>0</v>
          </cell>
          <cell r="DG116">
            <v>0</v>
          </cell>
          <cell r="DH116">
            <v>0</v>
          </cell>
        </row>
        <row r="117">
          <cell r="A117" t="str">
            <v>1730100</v>
          </cell>
          <cell r="B117" t="str">
            <v>1730100</v>
          </cell>
          <cell r="C117" t="str">
            <v>Accr Util Rev C</v>
          </cell>
          <cell r="D117">
            <v>10453804</v>
          </cell>
          <cell r="E117">
            <v>14121424</v>
          </cell>
          <cell r="F117">
            <v>14501272</v>
          </cell>
          <cell r="G117">
            <v>12210429</v>
          </cell>
          <cell r="H117">
            <v>11264410</v>
          </cell>
          <cell r="I117">
            <v>9588042</v>
          </cell>
          <cell r="J117">
            <v>9309625</v>
          </cell>
          <cell r="K117">
            <v>8689961</v>
          </cell>
          <cell r="L117">
            <v>8265612</v>
          </cell>
          <cell r="M117">
            <v>8573106</v>
          </cell>
          <cell r="N117">
            <v>8758043</v>
          </cell>
          <cell r="O117">
            <v>9690129</v>
          </cell>
          <cell r="P117">
            <v>12160508</v>
          </cell>
          <cell r="Q117">
            <v>13773698</v>
          </cell>
          <cell r="R117">
            <v>13842191</v>
          </cell>
          <cell r="S117">
            <v>13153486</v>
          </cell>
          <cell r="T117">
            <v>10396447</v>
          </cell>
          <cell r="U117">
            <v>8997653</v>
          </cell>
          <cell r="V117">
            <v>9318367</v>
          </cell>
          <cell r="W117">
            <v>8578586</v>
          </cell>
          <cell r="X117">
            <v>8605700</v>
          </cell>
          <cell r="Y117">
            <v>8467002</v>
          </cell>
          <cell r="Z117">
            <v>8631054</v>
          </cell>
          <cell r="AA117">
            <v>9332814</v>
          </cell>
          <cell r="AB117">
            <v>10568472</v>
          </cell>
          <cell r="AC117">
            <v>13194093</v>
          </cell>
          <cell r="AD117">
            <v>14606125</v>
          </cell>
          <cell r="AE117">
            <v>12771278</v>
          </cell>
          <cell r="AF117">
            <v>11268386</v>
          </cell>
          <cell r="AG117">
            <v>9955795</v>
          </cell>
          <cell r="AH117">
            <v>9011790</v>
          </cell>
          <cell r="AI117">
            <v>8305546</v>
          </cell>
          <cell r="AJ117">
            <v>8236893</v>
          </cell>
          <cell r="AK117">
            <v>8329332</v>
          </cell>
          <cell r="AL117">
            <v>8272996</v>
          </cell>
          <cell r="AM117">
            <v>9246536</v>
          </cell>
          <cell r="AN117">
            <v>10736588</v>
          </cell>
          <cell r="AO117">
            <v>12078768</v>
          </cell>
          <cell r="AP117">
            <v>11961224</v>
          </cell>
          <cell r="AQ117">
            <v>11195527</v>
          </cell>
          <cell r="AR117">
            <v>10986039</v>
          </cell>
          <cell r="AS117">
            <v>9783910</v>
          </cell>
          <cell r="AT117">
            <v>8920964</v>
          </cell>
          <cell r="AU117">
            <v>8405325</v>
          </cell>
          <cell r="AV117">
            <v>8345855</v>
          </cell>
          <cell r="AW117">
            <v>8880385</v>
          </cell>
          <cell r="AX117">
            <v>9055757</v>
          </cell>
          <cell r="AY117">
            <v>10184241</v>
          </cell>
          <cell r="AZ117">
            <v>12037763</v>
          </cell>
          <cell r="BA117">
            <v>16903475</v>
          </cell>
          <cell r="BB117">
            <v>15075867</v>
          </cell>
          <cell r="BC117">
            <v>12324817</v>
          </cell>
          <cell r="BD117">
            <v>12712880</v>
          </cell>
          <cell r="BE117">
            <v>10609698</v>
          </cell>
          <cell r="BF117">
            <v>9391200</v>
          </cell>
          <cell r="BG117">
            <v>9182201</v>
          </cell>
          <cell r="BH117">
            <v>8937787</v>
          </cell>
          <cell r="BI117">
            <v>8976897</v>
          </cell>
          <cell r="BJ117">
            <v>8940430</v>
          </cell>
          <cell r="BK117">
            <v>10330350</v>
          </cell>
          <cell r="BL117">
            <v>12353298</v>
          </cell>
          <cell r="BM117">
            <v>13959659</v>
          </cell>
          <cell r="BN117">
            <v>11843869</v>
          </cell>
          <cell r="BO117">
            <v>12411808</v>
          </cell>
          <cell r="BP117">
            <v>12154083</v>
          </cell>
          <cell r="BQ117">
            <v>10937017</v>
          </cell>
          <cell r="BR117">
            <v>9590748</v>
          </cell>
          <cell r="BS117">
            <v>9249482</v>
          </cell>
          <cell r="BT117">
            <v>8624741</v>
          </cell>
          <cell r="BU117">
            <v>8918257</v>
          </cell>
          <cell r="BV117">
            <v>8868740</v>
          </cell>
          <cell r="BW117">
            <v>11408241</v>
          </cell>
          <cell r="BX117">
            <v>12585260</v>
          </cell>
          <cell r="BY117">
            <v>13948631</v>
          </cell>
          <cell r="BZ117">
            <v>13340275</v>
          </cell>
          <cell r="CA117">
            <v>11488328</v>
          </cell>
          <cell r="CB117">
            <v>10090773</v>
          </cell>
          <cell r="CC117">
            <v>9202897</v>
          </cell>
          <cell r="CD117">
            <v>9178472</v>
          </cell>
          <cell r="CE117">
            <v>8547643</v>
          </cell>
          <cell r="CF117">
            <v>8576101</v>
          </cell>
          <cell r="CG117">
            <v>8525635</v>
          </cell>
          <cell r="CH117">
            <v>9004210</v>
          </cell>
          <cell r="CI117">
            <v>10300774</v>
          </cell>
          <cell r="CJ117">
            <v>15058285</v>
          </cell>
          <cell r="CK117">
            <v>18903678</v>
          </cell>
          <cell r="CL117">
            <v>15409592</v>
          </cell>
          <cell r="CM117">
            <v>16257338</v>
          </cell>
          <cell r="CN117">
            <v>16067614</v>
          </cell>
          <cell r="CO117">
            <v>13825000</v>
          </cell>
          <cell r="CP117">
            <v>12980495</v>
          </cell>
          <cell r="CQ117">
            <v>12554084</v>
          </cell>
          <cell r="CR117">
            <v>11932838</v>
          </cell>
          <cell r="CS117">
            <v>12452247</v>
          </cell>
          <cell r="CT117">
            <v>12150759</v>
          </cell>
          <cell r="CU117">
            <v>13785737</v>
          </cell>
          <cell r="CV117">
            <v>17180538</v>
          </cell>
          <cell r="CW117">
            <v>22714314</v>
          </cell>
          <cell r="CX117">
            <v>21544001</v>
          </cell>
          <cell r="CY117">
            <v>18374847</v>
          </cell>
          <cell r="CZ117">
            <v>16853412</v>
          </cell>
          <cell r="DA117">
            <v>15553655</v>
          </cell>
          <cell r="DB117">
            <v>13680802</v>
          </cell>
          <cell r="DC117">
            <v>12783744</v>
          </cell>
          <cell r="DD117">
            <v>14256348</v>
          </cell>
          <cell r="DE117">
            <v>13334863</v>
          </cell>
          <cell r="DF117">
            <v>15910901</v>
          </cell>
          <cell r="DG117">
            <v>14071119</v>
          </cell>
          <cell r="DH117">
            <v>16225985</v>
          </cell>
        </row>
        <row r="118">
          <cell r="A118" t="str">
            <v>1760100</v>
          </cell>
          <cell r="B118" t="str">
            <v>1760100</v>
          </cell>
          <cell r="C118" t="str">
            <v>Curr Deriv Asset</v>
          </cell>
          <cell r="D118">
            <v>1083910</v>
          </cell>
          <cell r="E118">
            <v>3450680</v>
          </cell>
          <cell r="F118">
            <v>2417910</v>
          </cell>
          <cell r="G118">
            <v>1479840</v>
          </cell>
          <cell r="H118">
            <v>2610693.6800000002</v>
          </cell>
          <cell r="I118">
            <v>1045615</v>
          </cell>
          <cell r="J118">
            <v>579510</v>
          </cell>
          <cell r="K118">
            <v>0</v>
          </cell>
          <cell r="L118">
            <v>4975</v>
          </cell>
          <cell r="M118">
            <v>0</v>
          </cell>
          <cell r="N118">
            <v>0</v>
          </cell>
          <cell r="O118">
            <v>0</v>
          </cell>
          <cell r="P118">
            <v>0</v>
          </cell>
          <cell r="Q118">
            <v>0</v>
          </cell>
          <cell r="R118">
            <v>0</v>
          </cell>
          <cell r="S118">
            <v>27523.919999999998</v>
          </cell>
          <cell r="T118">
            <v>187787.92</v>
          </cell>
          <cell r="U118">
            <v>0</v>
          </cell>
          <cell r="V118">
            <v>0</v>
          </cell>
          <cell r="W118">
            <v>0</v>
          </cell>
          <cell r="X118">
            <v>0</v>
          </cell>
          <cell r="Y118">
            <v>0</v>
          </cell>
          <cell r="Z118">
            <v>0</v>
          </cell>
          <cell r="AA118">
            <v>0</v>
          </cell>
          <cell r="AB118">
            <v>0</v>
          </cell>
          <cell r="AC118">
            <v>2520</v>
          </cell>
          <cell r="AD118">
            <v>0</v>
          </cell>
          <cell r="AE118">
            <v>0</v>
          </cell>
          <cell r="AF118">
            <v>0</v>
          </cell>
          <cell r="AG118">
            <v>3720</v>
          </cell>
          <cell r="AH118">
            <v>235290</v>
          </cell>
          <cell r="AI118">
            <v>215630</v>
          </cell>
          <cell r="AJ118">
            <v>103720</v>
          </cell>
          <cell r="AK118">
            <v>63240</v>
          </cell>
          <cell r="AL118">
            <v>24520</v>
          </cell>
          <cell r="AM118">
            <v>382970</v>
          </cell>
          <cell r="AN118">
            <v>1721815</v>
          </cell>
          <cell r="AO118">
            <v>428585</v>
          </cell>
          <cell r="AP118">
            <v>31520</v>
          </cell>
          <cell r="AQ118">
            <v>481000</v>
          </cell>
          <cell r="AR118">
            <v>504425</v>
          </cell>
          <cell r="AS118">
            <v>161805</v>
          </cell>
          <cell r="AT118">
            <v>86755</v>
          </cell>
          <cell r="AU118">
            <v>8450</v>
          </cell>
          <cell r="AV118">
            <v>94105</v>
          </cell>
          <cell r="AW118">
            <v>72175</v>
          </cell>
          <cell r="AX118">
            <v>0</v>
          </cell>
          <cell r="AY118">
            <v>7230</v>
          </cell>
          <cell r="AZ118">
            <v>0</v>
          </cell>
          <cell r="BA118">
            <v>77895</v>
          </cell>
          <cell r="BB118">
            <v>0</v>
          </cell>
          <cell r="BC118">
            <v>0</v>
          </cell>
          <cell r="BD118">
            <v>2040</v>
          </cell>
          <cell r="BE118">
            <v>20020</v>
          </cell>
          <cell r="BF118">
            <v>15330</v>
          </cell>
          <cell r="BG118">
            <v>0</v>
          </cell>
          <cell r="BH118">
            <v>3500</v>
          </cell>
          <cell r="BI118">
            <v>10040</v>
          </cell>
          <cell r="BJ118">
            <v>14650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row>
        <row r="119">
          <cell r="A119" t="str">
            <v>1760200</v>
          </cell>
          <cell r="B119" t="str">
            <v>1760200</v>
          </cell>
          <cell r="C119" t="str">
            <v>LT Deriv Asset</v>
          </cell>
          <cell r="D119">
            <v>51235</v>
          </cell>
          <cell r="E119">
            <v>113765</v>
          </cell>
          <cell r="F119">
            <v>71605</v>
          </cell>
          <cell r="G119">
            <v>25205</v>
          </cell>
          <cell r="H119">
            <v>481885</v>
          </cell>
          <cell r="I119">
            <v>134995</v>
          </cell>
          <cell r="J119">
            <v>98245</v>
          </cell>
          <cell r="K119">
            <v>0</v>
          </cell>
          <cell r="L119">
            <v>0</v>
          </cell>
          <cell r="M119">
            <v>0</v>
          </cell>
          <cell r="N119">
            <v>0</v>
          </cell>
          <cell r="O119">
            <v>0</v>
          </cell>
          <cell r="P119">
            <v>0</v>
          </cell>
          <cell r="Q119">
            <v>0</v>
          </cell>
          <cell r="R119">
            <v>0</v>
          </cell>
          <cell r="S119">
            <v>0</v>
          </cell>
          <cell r="T119">
            <v>0</v>
          </cell>
          <cell r="U119">
            <v>0</v>
          </cell>
          <cell r="V119">
            <v>360</v>
          </cell>
          <cell r="W119">
            <v>0</v>
          </cell>
          <cell r="X119">
            <v>0</v>
          </cell>
          <cell r="Y119">
            <v>0</v>
          </cell>
          <cell r="Z119">
            <v>0</v>
          </cell>
          <cell r="AA119">
            <v>0</v>
          </cell>
          <cell r="AB119">
            <v>0</v>
          </cell>
          <cell r="AC119">
            <v>0</v>
          </cell>
          <cell r="AD119">
            <v>0</v>
          </cell>
          <cell r="AE119">
            <v>2790</v>
          </cell>
          <cell r="AF119">
            <v>56285</v>
          </cell>
          <cell r="AG119">
            <v>74965</v>
          </cell>
          <cell r="AH119">
            <v>123345</v>
          </cell>
          <cell r="AI119">
            <v>136115</v>
          </cell>
          <cell r="AJ119">
            <v>97905</v>
          </cell>
          <cell r="AK119">
            <v>55055</v>
          </cell>
          <cell r="AL119">
            <v>128885</v>
          </cell>
          <cell r="AM119">
            <v>149175</v>
          </cell>
          <cell r="AN119">
            <v>267425</v>
          </cell>
          <cell r="AO119">
            <v>106815</v>
          </cell>
          <cell r="AP119">
            <v>0</v>
          </cell>
          <cell r="AQ119">
            <v>1880</v>
          </cell>
          <cell r="AR119">
            <v>34420</v>
          </cell>
          <cell r="AS119">
            <v>7720</v>
          </cell>
          <cell r="AT119">
            <v>1520</v>
          </cell>
          <cell r="AU119">
            <v>0</v>
          </cell>
          <cell r="AV119">
            <v>7090</v>
          </cell>
          <cell r="AW119">
            <v>7570</v>
          </cell>
          <cell r="AX119">
            <v>4800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row>
        <row r="120">
          <cell r="A120" t="str">
            <v>1810100</v>
          </cell>
          <cell r="B120" t="str">
            <v>1810100</v>
          </cell>
          <cell r="C120" t="str">
            <v>UA Debt Exp ST Loan</v>
          </cell>
          <cell r="BA120">
            <v>0</v>
          </cell>
          <cell r="BB120">
            <v>0</v>
          </cell>
          <cell r="BC120">
            <v>45859.38</v>
          </cell>
          <cell r="BD120">
            <v>39308.04</v>
          </cell>
          <cell r="BE120">
            <v>32756.7</v>
          </cell>
          <cell r="BF120">
            <v>26205.360000000001</v>
          </cell>
          <cell r="BG120">
            <v>19654.02</v>
          </cell>
          <cell r="BH120">
            <v>13102.68</v>
          </cell>
          <cell r="BI120">
            <v>6551.34</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11319.55</v>
          </cell>
          <cell r="CA120">
            <v>14670.6</v>
          </cell>
          <cell r="CB120">
            <v>13203.54</v>
          </cell>
          <cell r="CC120">
            <v>11736.48</v>
          </cell>
          <cell r="CD120">
            <v>10269.42</v>
          </cell>
          <cell r="CE120">
            <v>8802.36</v>
          </cell>
          <cell r="CF120">
            <v>7335.3</v>
          </cell>
          <cell r="CG120">
            <v>5868.24</v>
          </cell>
          <cell r="CH120">
            <v>4401.18</v>
          </cell>
          <cell r="CI120">
            <v>2934.12</v>
          </cell>
          <cell r="CJ120">
            <v>1467.06</v>
          </cell>
          <cell r="CK120">
            <v>6563.9</v>
          </cell>
          <cell r="CL120">
            <v>4375.9399999999996</v>
          </cell>
          <cell r="CM120">
            <v>2543.25</v>
          </cell>
          <cell r="CN120">
            <v>0</v>
          </cell>
          <cell r="CO120">
            <v>0</v>
          </cell>
          <cell r="CP120">
            <v>0</v>
          </cell>
          <cell r="CQ120">
            <v>0</v>
          </cell>
          <cell r="CR120">
            <v>0</v>
          </cell>
          <cell r="CS120">
            <v>0</v>
          </cell>
          <cell r="CT120">
            <v>0</v>
          </cell>
          <cell r="CU120">
            <v>0</v>
          </cell>
          <cell r="CV120">
            <v>14512.82</v>
          </cell>
          <cell r="CW120">
            <v>13059.42</v>
          </cell>
          <cell r="CX120">
            <v>11872.2</v>
          </cell>
          <cell r="CY120">
            <v>10684.98</v>
          </cell>
          <cell r="CZ120">
            <v>10479.040000000001</v>
          </cell>
          <cell r="DA120">
            <v>9169.16</v>
          </cell>
          <cell r="DB120">
            <v>7859.28</v>
          </cell>
          <cell r="DC120">
            <v>6549.4</v>
          </cell>
          <cell r="DD120">
            <v>5239.5200000000004</v>
          </cell>
          <cell r="DE120">
            <v>3929.64</v>
          </cell>
          <cell r="DF120">
            <v>2619.7600000000002</v>
          </cell>
          <cell r="DG120">
            <v>1309.8800000000001</v>
          </cell>
          <cell r="DH120">
            <v>38270.980000000003</v>
          </cell>
        </row>
        <row r="121">
          <cell r="A121" t="str">
            <v>1810200</v>
          </cell>
          <cell r="B121" t="str">
            <v>1810200</v>
          </cell>
          <cell r="C121" t="str">
            <v>UA Debt Exp Recourse</v>
          </cell>
          <cell r="D121">
            <v>1094576.58</v>
          </cell>
          <cell r="E121">
            <v>1087397.54</v>
          </cell>
          <cell r="F121">
            <v>1080218.5</v>
          </cell>
          <cell r="G121">
            <v>1073039.46</v>
          </cell>
          <cell r="H121">
            <v>1065860.42</v>
          </cell>
          <cell r="I121">
            <v>1151468.8799999999</v>
          </cell>
          <cell r="J121">
            <v>1146259.69</v>
          </cell>
          <cell r="K121">
            <v>1141357.42</v>
          </cell>
          <cell r="L121">
            <v>1134105.01</v>
          </cell>
          <cell r="M121">
            <v>1136898.3899999999</v>
          </cell>
          <cell r="N121">
            <v>1129580.24</v>
          </cell>
          <cell r="O121">
            <v>1122097.51</v>
          </cell>
          <cell r="P121">
            <v>1114614.78</v>
          </cell>
          <cell r="Q121">
            <v>1107132.05</v>
          </cell>
          <cell r="R121">
            <v>1099649.32</v>
          </cell>
          <cell r="S121">
            <v>1092166.5900000001</v>
          </cell>
          <cell r="T121">
            <v>1084683.8600000001</v>
          </cell>
          <cell r="U121">
            <v>1266226.81</v>
          </cell>
          <cell r="V121">
            <v>1277958.69</v>
          </cell>
          <cell r="W121">
            <v>1271078.6399999999</v>
          </cell>
          <cell r="X121">
            <v>1263012.55</v>
          </cell>
          <cell r="Y121">
            <v>1264835.3400000001</v>
          </cell>
          <cell r="Z121">
            <v>1256741.47</v>
          </cell>
          <cell r="AA121">
            <v>1248648.31</v>
          </cell>
          <cell r="AB121">
            <v>1240554.44</v>
          </cell>
          <cell r="AC121">
            <v>1232460.57</v>
          </cell>
          <cell r="AD121">
            <v>1224366.7</v>
          </cell>
          <cell r="AE121">
            <v>1216272.83</v>
          </cell>
          <cell r="AF121">
            <v>1208178.96</v>
          </cell>
          <cell r="AG121">
            <v>1200085.0900000001</v>
          </cell>
          <cell r="AH121">
            <v>1191991.22</v>
          </cell>
          <cell r="AI121">
            <v>1183897.3500000001</v>
          </cell>
          <cell r="AJ121">
            <v>1175803.48</v>
          </cell>
          <cell r="AK121">
            <v>1167709.6100000001</v>
          </cell>
          <cell r="AL121">
            <v>1159615.74</v>
          </cell>
          <cell r="AM121">
            <v>1151521.8700000001</v>
          </cell>
          <cell r="AN121">
            <v>1143428</v>
          </cell>
          <cell r="AO121">
            <v>1135334.1299999999</v>
          </cell>
          <cell r="AP121">
            <v>1127240.26</v>
          </cell>
          <cell r="AQ121">
            <v>1119146.3899999999</v>
          </cell>
          <cell r="AR121">
            <v>1111052.52</v>
          </cell>
          <cell r="AS121">
            <v>1102958.6499999999</v>
          </cell>
          <cell r="AT121">
            <v>1094864.78</v>
          </cell>
          <cell r="AU121">
            <v>1086770.9099999999</v>
          </cell>
          <cell r="AV121">
            <v>1078677.04</v>
          </cell>
          <cell r="AW121">
            <v>1070583.17</v>
          </cell>
          <cell r="AX121">
            <v>1062489.3</v>
          </cell>
          <cell r="AY121">
            <v>1054395.43</v>
          </cell>
          <cell r="AZ121">
            <v>1046301.56</v>
          </cell>
          <cell r="BA121">
            <v>1038207.69</v>
          </cell>
          <cell r="BB121">
            <v>1030113.82</v>
          </cell>
          <cell r="BC121">
            <v>1022019.95</v>
          </cell>
          <cell r="BD121">
            <v>1013926.08</v>
          </cell>
          <cell r="BE121">
            <v>1007409.23</v>
          </cell>
          <cell r="BF121">
            <v>1758857.41</v>
          </cell>
          <cell r="BG121">
            <v>1768017.45</v>
          </cell>
          <cell r="BH121">
            <v>1766034.23</v>
          </cell>
          <cell r="BI121">
            <v>1800462.55</v>
          </cell>
          <cell r="BJ121">
            <v>2037074.48</v>
          </cell>
          <cell r="BK121">
            <v>2030609.45</v>
          </cell>
          <cell r="BL121">
            <v>2027977.83</v>
          </cell>
          <cell r="BM121">
            <v>2020072.15</v>
          </cell>
          <cell r="BN121">
            <v>2012183.48</v>
          </cell>
          <cell r="BO121">
            <v>2018048.28</v>
          </cell>
          <cell r="BP121">
            <v>2010104.56</v>
          </cell>
          <cell r="BQ121">
            <v>2002160.84</v>
          </cell>
          <cell r="BR121">
            <v>1994217.12</v>
          </cell>
          <cell r="BS121">
            <v>2205578.9</v>
          </cell>
          <cell r="BT121">
            <v>2242159.67</v>
          </cell>
          <cell r="BU121">
            <v>2244443.7000000002</v>
          </cell>
          <cell r="BV121">
            <v>2235757.23</v>
          </cell>
          <cell r="BW121">
            <v>2227070.7599999998</v>
          </cell>
          <cell r="BX121">
            <v>2233060.89</v>
          </cell>
          <cell r="BY121">
            <v>2224334.3199999998</v>
          </cell>
          <cell r="BZ121">
            <v>2215607.75</v>
          </cell>
          <cell r="CA121">
            <v>2207345.8199999998</v>
          </cell>
          <cell r="CB121">
            <v>2198617.9700000002</v>
          </cell>
          <cell r="CC121">
            <v>2189890.12</v>
          </cell>
          <cell r="CD121">
            <v>2181162.27</v>
          </cell>
          <cell r="CE121">
            <v>2172434.42</v>
          </cell>
          <cell r="CF121">
            <v>2163706.5699999998</v>
          </cell>
          <cell r="CG121">
            <v>2154978.7200000002</v>
          </cell>
          <cell r="CH121">
            <v>2146250.87</v>
          </cell>
          <cell r="CI121">
            <v>2137523.02</v>
          </cell>
          <cell r="CJ121">
            <v>2128795.17</v>
          </cell>
          <cell r="CK121">
            <v>2120067.3199999998</v>
          </cell>
          <cell r="CL121">
            <v>2111339.4700000002</v>
          </cell>
          <cell r="CM121">
            <v>3960407.64</v>
          </cell>
          <cell r="CN121">
            <v>4083428.36</v>
          </cell>
          <cell r="CO121">
            <v>4214954.07</v>
          </cell>
          <cell r="CP121">
            <v>4360244.96</v>
          </cell>
          <cell r="CQ121">
            <v>4339276.21</v>
          </cell>
          <cell r="CR121">
            <v>4318307.46</v>
          </cell>
          <cell r="CS121">
            <v>4297338.71</v>
          </cell>
          <cell r="CT121">
            <v>4276369.96</v>
          </cell>
          <cell r="CU121">
            <v>4255401.21</v>
          </cell>
          <cell r="CV121">
            <v>4234432.46</v>
          </cell>
          <cell r="CW121">
            <v>4213463.71</v>
          </cell>
          <cell r="CX121">
            <v>4192494.96</v>
          </cell>
          <cell r="CY121">
            <v>4171526.21</v>
          </cell>
          <cell r="CZ121">
            <v>4150557.46</v>
          </cell>
          <cell r="DA121">
            <v>4129588.71</v>
          </cell>
          <cell r="DB121">
            <v>4108619.96</v>
          </cell>
          <cell r="DC121">
            <v>4561678.3899999997</v>
          </cell>
          <cell r="DD121">
            <v>4601808.08</v>
          </cell>
          <cell r="DE121">
            <v>4573916</v>
          </cell>
          <cell r="DF121">
            <v>4559647.47</v>
          </cell>
          <cell r="DG121">
            <v>4532310.43</v>
          </cell>
          <cell r="DH121">
            <v>4504973.3899999997</v>
          </cell>
        </row>
        <row r="122">
          <cell r="A122" t="str">
            <v>1823040</v>
          </cell>
          <cell r="B122" t="str">
            <v>1823040</v>
          </cell>
          <cell r="C122" t="str">
            <v>Reg Ast Conserv Cls</v>
          </cell>
          <cell r="D122">
            <v>1701760</v>
          </cell>
          <cell r="E122">
            <v>1197700</v>
          </cell>
          <cell r="F122">
            <v>372893</v>
          </cell>
          <cell r="G122">
            <v>0</v>
          </cell>
          <cell r="H122">
            <v>0</v>
          </cell>
          <cell r="I122">
            <v>0</v>
          </cell>
          <cell r="J122">
            <v>0</v>
          </cell>
          <cell r="K122">
            <v>0</v>
          </cell>
          <cell r="L122">
            <v>0</v>
          </cell>
          <cell r="M122">
            <v>165017</v>
          </cell>
          <cell r="N122">
            <v>273314</v>
          </cell>
          <cell r="O122">
            <v>243252</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189617</v>
          </cell>
          <cell r="AO122">
            <v>0</v>
          </cell>
          <cell r="AP122">
            <v>0</v>
          </cell>
          <cell r="AQ122">
            <v>0</v>
          </cell>
          <cell r="AR122">
            <v>0</v>
          </cell>
          <cell r="AS122">
            <v>0</v>
          </cell>
          <cell r="AT122">
            <v>0</v>
          </cell>
          <cell r="AU122">
            <v>0</v>
          </cell>
          <cell r="AV122">
            <v>644180</v>
          </cell>
          <cell r="AW122">
            <v>1043840</v>
          </cell>
          <cell r="AX122">
            <v>2243077</v>
          </cell>
          <cell r="AY122">
            <v>2637591</v>
          </cell>
          <cell r="AZ122">
            <v>2498428</v>
          </cell>
          <cell r="BA122">
            <v>1599342</v>
          </cell>
          <cell r="BB122">
            <v>1232539</v>
          </cell>
          <cell r="BC122">
            <v>1526254</v>
          </cell>
          <cell r="BD122">
            <v>2526586</v>
          </cell>
          <cell r="BE122">
            <v>2276018</v>
          </cell>
          <cell r="BF122">
            <v>2209544</v>
          </cell>
          <cell r="BG122">
            <v>3301272</v>
          </cell>
          <cell r="BH122">
            <v>3838458</v>
          </cell>
          <cell r="BI122">
            <v>3615230</v>
          </cell>
          <cell r="BJ122">
            <v>4659576</v>
          </cell>
          <cell r="BK122">
            <v>4538810</v>
          </cell>
          <cell r="BL122">
            <v>4327501</v>
          </cell>
          <cell r="BM122">
            <v>3928978</v>
          </cell>
          <cell r="BN122">
            <v>2604221</v>
          </cell>
          <cell r="BO122">
            <v>1941372</v>
          </cell>
          <cell r="BP122">
            <v>1695605</v>
          </cell>
          <cell r="BQ122">
            <v>1332769</v>
          </cell>
          <cell r="BR122">
            <v>1894237</v>
          </cell>
          <cell r="BS122">
            <v>2877206</v>
          </cell>
          <cell r="BT122">
            <v>3118975</v>
          </cell>
          <cell r="BU122">
            <v>2922432</v>
          </cell>
          <cell r="BV122">
            <v>3370670</v>
          </cell>
          <cell r="BW122">
            <v>3465742</v>
          </cell>
          <cell r="BX122">
            <v>3036822</v>
          </cell>
          <cell r="BY122">
            <v>2633697</v>
          </cell>
          <cell r="BZ122">
            <v>1715623</v>
          </cell>
          <cell r="CA122">
            <v>691836</v>
          </cell>
          <cell r="CB122">
            <v>723557</v>
          </cell>
          <cell r="CC122">
            <v>748018</v>
          </cell>
          <cell r="CD122">
            <v>833637</v>
          </cell>
          <cell r="CE122">
            <v>867661</v>
          </cell>
          <cell r="CF122">
            <v>1134391</v>
          </cell>
          <cell r="CG122">
            <v>1694757</v>
          </cell>
          <cell r="CH122">
            <v>2368913</v>
          </cell>
          <cell r="CI122">
            <v>2272665</v>
          </cell>
          <cell r="CJ122">
            <v>1885102</v>
          </cell>
          <cell r="CK122">
            <v>889684</v>
          </cell>
          <cell r="CL122">
            <v>650520</v>
          </cell>
          <cell r="CM122">
            <v>483078</v>
          </cell>
          <cell r="CN122">
            <v>194675</v>
          </cell>
          <cell r="CO122">
            <v>88787</v>
          </cell>
          <cell r="CP122">
            <v>5123</v>
          </cell>
          <cell r="CQ122">
            <v>209420</v>
          </cell>
          <cell r="CR122">
            <v>59927</v>
          </cell>
          <cell r="CS122">
            <v>468406</v>
          </cell>
          <cell r="CT122">
            <v>764146</v>
          </cell>
          <cell r="CU122">
            <v>808833</v>
          </cell>
          <cell r="CV122">
            <v>601758</v>
          </cell>
          <cell r="CW122">
            <v>0</v>
          </cell>
          <cell r="CX122">
            <v>0</v>
          </cell>
          <cell r="CY122">
            <v>0</v>
          </cell>
          <cell r="CZ122">
            <v>0</v>
          </cell>
          <cell r="DA122">
            <v>0</v>
          </cell>
          <cell r="DB122">
            <v>0</v>
          </cell>
          <cell r="DC122">
            <v>0</v>
          </cell>
          <cell r="DD122">
            <v>0</v>
          </cell>
          <cell r="DE122">
            <v>0</v>
          </cell>
          <cell r="DF122">
            <v>0</v>
          </cell>
          <cell r="DG122">
            <v>0</v>
          </cell>
          <cell r="DH122">
            <v>0</v>
          </cell>
        </row>
        <row r="123">
          <cell r="A123" t="str">
            <v>1823070</v>
          </cell>
          <cell r="B123" t="str">
            <v>1823070</v>
          </cell>
          <cell r="C123" t="str">
            <v>Reg Ast CRA Clause</v>
          </cell>
          <cell r="D123">
            <v>4149218.84</v>
          </cell>
          <cell r="E123">
            <v>3881649.9</v>
          </cell>
          <cell r="F123">
            <v>3595984.45</v>
          </cell>
          <cell r="G123">
            <v>3356242.61</v>
          </cell>
          <cell r="H123">
            <v>3153815.07</v>
          </cell>
          <cell r="I123">
            <v>2998600.52</v>
          </cell>
          <cell r="J123">
            <v>2846062.38</v>
          </cell>
          <cell r="K123">
            <v>2754013.64</v>
          </cell>
          <cell r="L123">
            <v>2695425.26</v>
          </cell>
          <cell r="M123">
            <v>2593528.2999999998</v>
          </cell>
          <cell r="N123">
            <v>2832302.36</v>
          </cell>
          <cell r="O123">
            <v>2822611.69</v>
          </cell>
          <cell r="P123">
            <v>2791257.34</v>
          </cell>
          <cell r="Q123">
            <v>2733301.01</v>
          </cell>
          <cell r="R123">
            <v>2656755.98</v>
          </cell>
          <cell r="S123">
            <v>2587102.0099999998</v>
          </cell>
          <cell r="T123">
            <v>2549200.44</v>
          </cell>
          <cell r="U123">
            <v>2538827.5</v>
          </cell>
          <cell r="V123">
            <v>2506040.91</v>
          </cell>
          <cell r="W123">
            <v>2480624.2599999998</v>
          </cell>
          <cell r="X123">
            <v>2461141.5499999998</v>
          </cell>
          <cell r="Y123">
            <v>2444276.2400000002</v>
          </cell>
          <cell r="Z123">
            <v>2630639.09</v>
          </cell>
          <cell r="AA123">
            <v>2626735.1800000002</v>
          </cell>
          <cell r="AB123">
            <v>2616417.9900000002</v>
          </cell>
          <cell r="AC123">
            <v>2600383.5099999998</v>
          </cell>
          <cell r="AD123">
            <v>2555116.81</v>
          </cell>
          <cell r="AE123">
            <v>2543852.42</v>
          </cell>
          <cell r="AF123">
            <v>2534897.92</v>
          </cell>
          <cell r="AG123">
            <v>2528328.54</v>
          </cell>
          <cell r="AH123">
            <v>2532623.12</v>
          </cell>
          <cell r="AI123">
            <v>2517883.4900000002</v>
          </cell>
          <cell r="AJ123">
            <v>2537883.17</v>
          </cell>
          <cell r="AK123">
            <v>2543247.84</v>
          </cell>
          <cell r="AL123">
            <v>2725589.12</v>
          </cell>
          <cell r="AM123">
            <v>2731782.47</v>
          </cell>
          <cell r="AN123">
            <v>2726753.03</v>
          </cell>
          <cell r="AO123">
            <v>2715133.36</v>
          </cell>
          <cell r="AP123">
            <v>2685800.75</v>
          </cell>
          <cell r="AQ123">
            <v>2695731.94</v>
          </cell>
          <cell r="AR123">
            <v>2688156.83</v>
          </cell>
          <cell r="AS123">
            <v>2698362.17</v>
          </cell>
          <cell r="AT123">
            <v>2695538.46</v>
          </cell>
          <cell r="AU123">
            <v>2698530.13</v>
          </cell>
          <cell r="AV123">
            <v>2712868.69</v>
          </cell>
          <cell r="AW123">
            <v>2678963.89</v>
          </cell>
          <cell r="AX123">
            <v>2881127.79</v>
          </cell>
          <cell r="AY123">
            <v>2884220.64</v>
          </cell>
          <cell r="AZ123">
            <v>2885477.71</v>
          </cell>
          <cell r="BA123">
            <v>2806305.95</v>
          </cell>
          <cell r="BB123">
            <v>2706387.5</v>
          </cell>
          <cell r="BC123">
            <v>2727131.46</v>
          </cell>
          <cell r="BD123">
            <v>2707613.49</v>
          </cell>
          <cell r="BE123">
            <v>2709115.34</v>
          </cell>
          <cell r="BF123">
            <v>2702704.39</v>
          </cell>
          <cell r="BG123">
            <v>2704507.73</v>
          </cell>
          <cell r="BH123">
            <v>2702358.66</v>
          </cell>
          <cell r="BI123">
            <v>2685662.23</v>
          </cell>
          <cell r="BJ123">
            <v>2884730.31</v>
          </cell>
          <cell r="BK123">
            <v>2871545.31</v>
          </cell>
          <cell r="BL123">
            <v>3047398.14</v>
          </cell>
          <cell r="BM123">
            <v>2968833.26</v>
          </cell>
          <cell r="BN123">
            <v>2931366.27</v>
          </cell>
          <cell r="BO123">
            <v>2907963.42</v>
          </cell>
          <cell r="BP123">
            <v>2863286.67</v>
          </cell>
          <cell r="BQ123">
            <v>2868711.93</v>
          </cell>
          <cell r="BR123">
            <v>2846804.47</v>
          </cell>
          <cell r="BS123">
            <v>2853585.55</v>
          </cell>
          <cell r="BT123">
            <v>2785230.28</v>
          </cell>
          <cell r="BU123">
            <v>2856522.46</v>
          </cell>
          <cell r="BV123">
            <v>3074698.81</v>
          </cell>
          <cell r="BW123">
            <v>3065884.64</v>
          </cell>
          <cell r="BX123">
            <v>3035607.81</v>
          </cell>
          <cell r="BY123">
            <v>2981636.98</v>
          </cell>
          <cell r="BZ123">
            <v>2949472.71</v>
          </cell>
          <cell r="CA123">
            <v>2914420.77</v>
          </cell>
          <cell r="CB123">
            <v>2955122.67</v>
          </cell>
          <cell r="CC123">
            <v>3017050.97</v>
          </cell>
          <cell r="CD123">
            <v>3017741.43</v>
          </cell>
          <cell r="CE123">
            <v>3007112.01</v>
          </cell>
          <cell r="CF123">
            <v>3039422.32</v>
          </cell>
          <cell r="CG123">
            <v>3065669.68</v>
          </cell>
          <cell r="CH123">
            <v>3290228.97</v>
          </cell>
          <cell r="CI123">
            <v>3277817.81</v>
          </cell>
          <cell r="CJ123">
            <v>3237878.87</v>
          </cell>
          <cell r="CK123">
            <v>3208927.07</v>
          </cell>
          <cell r="CL123">
            <v>3177923.51</v>
          </cell>
          <cell r="CM123">
            <v>3265234.2</v>
          </cell>
          <cell r="CN123">
            <v>3289735.79</v>
          </cell>
          <cell r="CO123">
            <v>3370157.54</v>
          </cell>
          <cell r="CP123">
            <v>3449867.3</v>
          </cell>
          <cell r="CQ123">
            <v>3507792.7</v>
          </cell>
          <cell r="CR123">
            <v>3572579</v>
          </cell>
          <cell r="CS123">
            <v>3613025.2</v>
          </cell>
          <cell r="CT123">
            <v>3939284.26</v>
          </cell>
          <cell r="CU123">
            <v>3921548.21</v>
          </cell>
          <cell r="CV123">
            <v>3752772.99</v>
          </cell>
          <cell r="CW123">
            <v>3769639.75</v>
          </cell>
          <cell r="CX123">
            <v>3708831.04</v>
          </cell>
          <cell r="CY123">
            <v>3657458.81</v>
          </cell>
          <cell r="CZ123">
            <v>3633399.35</v>
          </cell>
          <cell r="DA123">
            <v>3480527.59</v>
          </cell>
          <cell r="DB123">
            <v>3438173.9</v>
          </cell>
          <cell r="DC123">
            <v>3436599.49</v>
          </cell>
          <cell r="DD123">
            <v>3485938.45</v>
          </cell>
          <cell r="DE123">
            <v>3445167.11</v>
          </cell>
          <cell r="DF123">
            <v>3873964.36</v>
          </cell>
          <cell r="DG123">
            <v>3845173.79</v>
          </cell>
          <cell r="DH123">
            <v>3792773.34</v>
          </cell>
        </row>
        <row r="124">
          <cell r="A124" t="str">
            <v>1823071</v>
          </cell>
          <cell r="B124" t="str">
            <v>1823071</v>
          </cell>
          <cell r="C124" t="str">
            <v>Reg Ast CI/BSR Rider</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20892</v>
          </cell>
          <cell r="AX124">
            <v>374994</v>
          </cell>
          <cell r="AY124">
            <v>691185</v>
          </cell>
          <cell r="AZ124">
            <v>1030552</v>
          </cell>
          <cell r="BA124">
            <v>409479</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296896</v>
          </cell>
          <cell r="BS124">
            <v>764380</v>
          </cell>
          <cell r="BT124">
            <v>1275141</v>
          </cell>
          <cell r="BU124">
            <v>1795596</v>
          </cell>
          <cell r="BV124">
            <v>2279551</v>
          </cell>
          <cell r="BW124">
            <v>2772764</v>
          </cell>
          <cell r="BX124">
            <v>3382549</v>
          </cell>
          <cell r="BY124">
            <v>2748249</v>
          </cell>
          <cell r="BZ124">
            <v>2185698</v>
          </cell>
          <cell r="CA124">
            <v>1786204</v>
          </cell>
          <cell r="CB124">
            <v>1888696</v>
          </cell>
          <cell r="CC124">
            <v>2168596</v>
          </cell>
          <cell r="CD124">
            <v>2473698</v>
          </cell>
          <cell r="CE124">
            <v>2911099</v>
          </cell>
          <cell r="CF124">
            <v>3383454</v>
          </cell>
          <cell r="CG124">
            <v>3892511</v>
          </cell>
          <cell r="CH124">
            <v>4349664</v>
          </cell>
          <cell r="CI124">
            <v>4644312</v>
          </cell>
          <cell r="CJ124">
            <v>4581212</v>
          </cell>
          <cell r="CK124">
            <v>3927879</v>
          </cell>
          <cell r="CL124">
            <v>3358080</v>
          </cell>
          <cell r="CM124">
            <v>2895960</v>
          </cell>
          <cell r="CN124">
            <v>2471088</v>
          </cell>
          <cell r="CO124">
            <v>2144007</v>
          </cell>
          <cell r="CP124">
            <v>1861783</v>
          </cell>
          <cell r="CQ124">
            <v>1609829</v>
          </cell>
          <cell r="CR124">
            <v>1407755</v>
          </cell>
          <cell r="CS124">
            <v>1200758</v>
          </cell>
          <cell r="CT124">
            <v>1033527</v>
          </cell>
          <cell r="CU124">
            <v>837170</v>
          </cell>
          <cell r="CV124">
            <v>563794</v>
          </cell>
          <cell r="CW124">
            <v>359095</v>
          </cell>
          <cell r="CX124">
            <v>131728</v>
          </cell>
          <cell r="CY124">
            <v>4678</v>
          </cell>
          <cell r="CZ124">
            <v>0</v>
          </cell>
          <cell r="DA124">
            <v>0</v>
          </cell>
          <cell r="DB124">
            <v>0</v>
          </cell>
          <cell r="DC124">
            <v>0</v>
          </cell>
          <cell r="DD124">
            <v>0</v>
          </cell>
          <cell r="DE124">
            <v>318938.61</v>
          </cell>
          <cell r="DF124">
            <v>426783.61</v>
          </cell>
          <cell r="DG124">
            <v>525660.61</v>
          </cell>
          <cell r="DH124">
            <v>845047.11</v>
          </cell>
        </row>
        <row r="125">
          <cell r="A125" t="str">
            <v>1823100</v>
          </cell>
          <cell r="B125" t="str">
            <v>1823100</v>
          </cell>
          <cell r="C125" t="str">
            <v>Reg Ast FAS158 C</v>
          </cell>
          <cell r="D125">
            <v>1383953</v>
          </cell>
          <cell r="E125">
            <v>1383953</v>
          </cell>
          <cell r="F125">
            <v>1383953</v>
          </cell>
          <cell r="G125">
            <v>1383953</v>
          </cell>
          <cell r="H125">
            <v>1383953</v>
          </cell>
          <cell r="I125">
            <v>1383953</v>
          </cell>
          <cell r="J125">
            <v>1383953</v>
          </cell>
          <cell r="K125">
            <v>1383953</v>
          </cell>
          <cell r="L125">
            <v>1383953</v>
          </cell>
          <cell r="M125">
            <v>1383953</v>
          </cell>
          <cell r="N125">
            <v>1383953</v>
          </cell>
          <cell r="O125">
            <v>1383953</v>
          </cell>
          <cell r="P125">
            <v>1110915</v>
          </cell>
          <cell r="Q125">
            <v>1110915</v>
          </cell>
          <cell r="R125">
            <v>1110915</v>
          </cell>
          <cell r="S125">
            <v>1110915</v>
          </cell>
          <cell r="T125">
            <v>1110915</v>
          </cell>
          <cell r="U125">
            <v>1110915</v>
          </cell>
          <cell r="V125">
            <v>1110915</v>
          </cell>
          <cell r="W125">
            <v>1110915</v>
          </cell>
          <cell r="X125">
            <v>1110915</v>
          </cell>
          <cell r="Y125">
            <v>1110915</v>
          </cell>
          <cell r="Z125">
            <v>1110915</v>
          </cell>
          <cell r="AA125">
            <v>1110915</v>
          </cell>
          <cell r="AB125">
            <v>1110915</v>
          </cell>
          <cell r="AC125">
            <v>1086987</v>
          </cell>
          <cell r="AD125">
            <v>1086987</v>
          </cell>
          <cell r="AE125">
            <v>1086987</v>
          </cell>
          <cell r="AF125">
            <v>1086987</v>
          </cell>
          <cell r="AG125">
            <v>1086987</v>
          </cell>
          <cell r="AH125">
            <v>1086987</v>
          </cell>
          <cell r="AI125">
            <v>1086987</v>
          </cell>
          <cell r="AJ125">
            <v>1086987</v>
          </cell>
          <cell r="AK125">
            <v>1086987</v>
          </cell>
          <cell r="AL125">
            <v>1086987</v>
          </cell>
          <cell r="AM125">
            <v>1086987</v>
          </cell>
          <cell r="AN125">
            <v>1086987</v>
          </cell>
          <cell r="AO125">
            <v>1086987</v>
          </cell>
          <cell r="AP125">
            <v>1086987</v>
          </cell>
          <cell r="AQ125">
            <v>1086987</v>
          </cell>
          <cell r="AR125">
            <v>1086987</v>
          </cell>
          <cell r="AS125">
            <v>1086987</v>
          </cell>
          <cell r="AT125">
            <v>1086987</v>
          </cell>
          <cell r="AU125">
            <v>1086987</v>
          </cell>
          <cell r="AV125">
            <v>1086987</v>
          </cell>
          <cell r="AW125">
            <v>1086987</v>
          </cell>
          <cell r="AX125">
            <v>1086987</v>
          </cell>
          <cell r="AY125">
            <v>1086987</v>
          </cell>
          <cell r="AZ125">
            <v>1086987</v>
          </cell>
          <cell r="BA125">
            <v>1086987</v>
          </cell>
          <cell r="BB125">
            <v>1086987</v>
          </cell>
          <cell r="BC125">
            <v>1086987</v>
          </cell>
          <cell r="BD125">
            <v>1086987</v>
          </cell>
          <cell r="BE125">
            <v>1086987</v>
          </cell>
          <cell r="BF125">
            <v>1064492</v>
          </cell>
          <cell r="BG125">
            <v>1064492</v>
          </cell>
          <cell r="BH125">
            <v>1064492</v>
          </cell>
          <cell r="BI125">
            <v>1064492</v>
          </cell>
          <cell r="BJ125">
            <v>1064492</v>
          </cell>
          <cell r="BK125">
            <v>1064492</v>
          </cell>
          <cell r="BL125">
            <v>1064492</v>
          </cell>
          <cell r="BM125">
            <v>1064492</v>
          </cell>
          <cell r="BN125">
            <v>1064492</v>
          </cell>
          <cell r="BO125">
            <v>1132280</v>
          </cell>
          <cell r="BP125">
            <v>1132280</v>
          </cell>
          <cell r="BQ125">
            <v>1132280</v>
          </cell>
          <cell r="BR125">
            <v>1132280</v>
          </cell>
          <cell r="BS125">
            <v>1132280</v>
          </cell>
          <cell r="BT125">
            <v>1132280</v>
          </cell>
          <cell r="BU125">
            <v>1132280</v>
          </cell>
          <cell r="BV125">
            <v>1132280</v>
          </cell>
          <cell r="BW125">
            <v>1132280</v>
          </cell>
          <cell r="BX125">
            <v>1097401</v>
          </cell>
          <cell r="BY125">
            <v>1097401</v>
          </cell>
          <cell r="BZ125">
            <v>1097401</v>
          </cell>
          <cell r="CA125">
            <v>1167159</v>
          </cell>
          <cell r="CB125">
            <v>1167159</v>
          </cell>
          <cell r="CC125">
            <v>1167159</v>
          </cell>
          <cell r="CD125">
            <v>1167159</v>
          </cell>
          <cell r="CE125">
            <v>1167159</v>
          </cell>
          <cell r="CF125">
            <v>1167159</v>
          </cell>
          <cell r="CG125">
            <v>1167159</v>
          </cell>
          <cell r="CH125">
            <v>1167159</v>
          </cell>
          <cell r="CI125">
            <v>1167159</v>
          </cell>
          <cell r="CJ125">
            <v>924658</v>
          </cell>
          <cell r="CK125">
            <v>924658</v>
          </cell>
          <cell r="CL125">
            <v>924658</v>
          </cell>
          <cell r="CM125">
            <v>924658</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-1143383</v>
          </cell>
          <cell r="DC125">
            <v>-1143383</v>
          </cell>
          <cell r="DD125">
            <v>-1143383</v>
          </cell>
          <cell r="DE125">
            <v>-1143383</v>
          </cell>
          <cell r="DF125">
            <v>-1143383</v>
          </cell>
          <cell r="DG125">
            <v>-1143383</v>
          </cell>
          <cell r="DH125">
            <v>0</v>
          </cell>
        </row>
        <row r="126">
          <cell r="A126" t="str">
            <v>1823102</v>
          </cell>
          <cell r="B126" t="str">
            <v>1823102</v>
          </cell>
          <cell r="C126" t="str">
            <v>Reg Ast Rate Case C</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410149.62</v>
          </cell>
          <cell r="CK126">
            <v>419664.57</v>
          </cell>
          <cell r="CL126">
            <v>420104.43</v>
          </cell>
          <cell r="CM126">
            <v>420119.03999999998</v>
          </cell>
          <cell r="CN126">
            <v>420119.03999999998</v>
          </cell>
          <cell r="CO126">
            <v>423476.42</v>
          </cell>
          <cell r="CP126">
            <v>423476.42</v>
          </cell>
          <cell r="CQ126">
            <v>423476.42</v>
          </cell>
          <cell r="CR126">
            <v>423476.42</v>
          </cell>
          <cell r="CS126">
            <v>423476.42</v>
          </cell>
          <cell r="CT126">
            <v>423476.42</v>
          </cell>
          <cell r="CU126">
            <v>423476.42</v>
          </cell>
          <cell r="CV126">
            <v>423476.42</v>
          </cell>
          <cell r="CW126">
            <v>423476.42</v>
          </cell>
          <cell r="CX126">
            <v>423476.42</v>
          </cell>
          <cell r="CY126">
            <v>423476.42</v>
          </cell>
          <cell r="CZ126">
            <v>423476.42</v>
          </cell>
          <cell r="DA126">
            <v>423476.42</v>
          </cell>
          <cell r="DB126">
            <v>423476.42</v>
          </cell>
          <cell r="DC126">
            <v>423476.42</v>
          </cell>
          <cell r="DD126">
            <v>423476.42</v>
          </cell>
          <cell r="DE126">
            <v>423476.42</v>
          </cell>
          <cell r="DF126">
            <v>423476.42</v>
          </cell>
          <cell r="DG126">
            <v>423476.42</v>
          </cell>
          <cell r="DH126">
            <v>423476.42</v>
          </cell>
        </row>
        <row r="127">
          <cell r="A127" t="str">
            <v>1823105</v>
          </cell>
          <cell r="B127" t="str">
            <v>1823105</v>
          </cell>
          <cell r="C127" t="str">
            <v>Curr Derv-Regulatory</v>
          </cell>
          <cell r="D127">
            <v>7120</v>
          </cell>
          <cell r="E127">
            <v>0</v>
          </cell>
          <cell r="F127">
            <v>0</v>
          </cell>
          <cell r="G127">
            <v>0</v>
          </cell>
          <cell r="H127">
            <v>0</v>
          </cell>
          <cell r="I127">
            <v>38715</v>
          </cell>
          <cell r="J127">
            <v>128875</v>
          </cell>
          <cell r="K127">
            <v>2468590</v>
          </cell>
          <cell r="L127">
            <v>1173365</v>
          </cell>
          <cell r="M127">
            <v>1223070</v>
          </cell>
          <cell r="N127">
            <v>2881650</v>
          </cell>
          <cell r="O127">
            <v>2014370</v>
          </cell>
          <cell r="P127">
            <v>7392240</v>
          </cell>
          <cell r="Q127">
            <v>7790065</v>
          </cell>
          <cell r="R127">
            <v>6393740</v>
          </cell>
          <cell r="S127">
            <v>6342450</v>
          </cell>
          <cell r="T127">
            <v>5637320</v>
          </cell>
          <cell r="U127">
            <v>5755855</v>
          </cell>
          <cell r="V127">
            <v>4880205</v>
          </cell>
          <cell r="W127">
            <v>4858745</v>
          </cell>
          <cell r="X127">
            <v>5110565</v>
          </cell>
          <cell r="Y127">
            <v>5737865</v>
          </cell>
          <cell r="Z127">
            <v>7190665</v>
          </cell>
          <cell r="AA127">
            <v>7185065</v>
          </cell>
          <cell r="AB127">
            <v>5677115</v>
          </cell>
          <cell r="AC127">
            <v>4421245</v>
          </cell>
          <cell r="AD127">
            <v>5029175</v>
          </cell>
          <cell r="AE127">
            <v>3317630</v>
          </cell>
          <cell r="AF127">
            <v>1955540</v>
          </cell>
          <cell r="AG127">
            <v>1672795</v>
          </cell>
          <cell r="AH127">
            <v>343605</v>
          </cell>
          <cell r="AI127">
            <v>334975</v>
          </cell>
          <cell r="AJ127">
            <v>322945</v>
          </cell>
          <cell r="AK127">
            <v>385945</v>
          </cell>
          <cell r="AL127">
            <v>407985</v>
          </cell>
          <cell r="AM127">
            <v>73985</v>
          </cell>
          <cell r="AN127">
            <v>0</v>
          </cell>
          <cell r="AO127">
            <v>55450</v>
          </cell>
          <cell r="AP127">
            <v>358425</v>
          </cell>
          <cell r="AQ127">
            <v>0</v>
          </cell>
          <cell r="AR127">
            <v>0</v>
          </cell>
          <cell r="AS127">
            <v>3400</v>
          </cell>
          <cell r="AT127">
            <v>20300</v>
          </cell>
          <cell r="AU127">
            <v>132075</v>
          </cell>
          <cell r="AV127">
            <v>4680</v>
          </cell>
          <cell r="AW127">
            <v>9230</v>
          </cell>
          <cell r="AX127">
            <v>138225</v>
          </cell>
          <cell r="AY127">
            <v>60555</v>
          </cell>
          <cell r="AZ127">
            <v>181065</v>
          </cell>
          <cell r="BA127">
            <v>1780</v>
          </cell>
          <cell r="BB127">
            <v>113125</v>
          </cell>
          <cell r="BC127">
            <v>32645</v>
          </cell>
          <cell r="BD127">
            <v>25690</v>
          </cell>
          <cell r="BE127">
            <v>0</v>
          </cell>
          <cell r="BF127">
            <v>280</v>
          </cell>
          <cell r="BG127">
            <v>11720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row>
        <row r="128">
          <cell r="A128">
            <v>1823113</v>
          </cell>
          <cell r="B128">
            <v>1823113</v>
          </cell>
          <cell r="C128" t="str">
            <v>Prov Prop Ins Db C - NEW ACCT</v>
          </cell>
          <cell r="CY128">
            <v>0</v>
          </cell>
          <cell r="CZ128">
            <v>0</v>
          </cell>
          <cell r="DA128">
            <v>0</v>
          </cell>
          <cell r="DB128">
            <v>0</v>
          </cell>
          <cell r="DC128">
            <v>0</v>
          </cell>
          <cell r="DD128">
            <v>0</v>
          </cell>
          <cell r="DE128">
            <v>0</v>
          </cell>
          <cell r="DF128">
            <v>0</v>
          </cell>
          <cell r="DG128">
            <v>0</v>
          </cell>
          <cell r="DH128">
            <v>746637.03</v>
          </cell>
        </row>
        <row r="129">
          <cell r="A129" t="str">
            <v>1823200</v>
          </cell>
          <cell r="B129" t="str">
            <v>1823200</v>
          </cell>
          <cell r="C129" t="str">
            <v>Reg Ast FAS158 NC</v>
          </cell>
          <cell r="D129">
            <v>15895212</v>
          </cell>
          <cell r="E129">
            <v>15895212</v>
          </cell>
          <cell r="F129">
            <v>15895212</v>
          </cell>
          <cell r="G129">
            <v>15515120</v>
          </cell>
          <cell r="H129">
            <v>15515120</v>
          </cell>
          <cell r="I129">
            <v>15515120</v>
          </cell>
          <cell r="J129">
            <v>15123910</v>
          </cell>
          <cell r="K129">
            <v>15123910</v>
          </cell>
          <cell r="L129">
            <v>15123910</v>
          </cell>
          <cell r="M129">
            <v>14917721</v>
          </cell>
          <cell r="N129">
            <v>14917721</v>
          </cell>
          <cell r="O129">
            <v>14917721</v>
          </cell>
          <cell r="P129">
            <v>18221183</v>
          </cell>
          <cell r="Q129">
            <v>18221183</v>
          </cell>
          <cell r="R129">
            <v>18221183</v>
          </cell>
          <cell r="S129">
            <v>18583829</v>
          </cell>
          <cell r="T129">
            <v>18583829</v>
          </cell>
          <cell r="U129">
            <v>18583829</v>
          </cell>
          <cell r="V129">
            <v>17393031</v>
          </cell>
          <cell r="W129">
            <v>17393031</v>
          </cell>
          <cell r="X129">
            <v>17086508</v>
          </cell>
          <cell r="Y129">
            <v>16672431</v>
          </cell>
          <cell r="Z129">
            <v>16672431</v>
          </cell>
          <cell r="AA129">
            <v>16672431</v>
          </cell>
          <cell r="AB129">
            <v>23999401</v>
          </cell>
          <cell r="AC129">
            <v>24023329</v>
          </cell>
          <cell r="AD129">
            <v>24023329</v>
          </cell>
          <cell r="AE129">
            <v>23669511</v>
          </cell>
          <cell r="AF129">
            <v>23669511</v>
          </cell>
          <cell r="AG129">
            <v>23678786</v>
          </cell>
          <cell r="AH129">
            <v>23206944</v>
          </cell>
          <cell r="AI129">
            <v>23206944</v>
          </cell>
          <cell r="AJ129">
            <v>23206944</v>
          </cell>
          <cell r="AK129">
            <v>31647791</v>
          </cell>
          <cell r="AL129">
            <v>31647791</v>
          </cell>
          <cell r="AM129">
            <v>31647791</v>
          </cell>
          <cell r="AN129">
            <v>27242785</v>
          </cell>
          <cell r="AO129">
            <v>27242785</v>
          </cell>
          <cell r="AP129">
            <v>27242785</v>
          </cell>
          <cell r="AQ129">
            <v>26819238</v>
          </cell>
          <cell r="AR129">
            <v>26819238</v>
          </cell>
          <cell r="AS129">
            <v>26819238</v>
          </cell>
          <cell r="AT129">
            <v>27584550</v>
          </cell>
          <cell r="AU129">
            <v>27584550</v>
          </cell>
          <cell r="AV129">
            <v>27584550</v>
          </cell>
          <cell r="AW129">
            <v>27125023</v>
          </cell>
          <cell r="AX129">
            <v>27125023</v>
          </cell>
          <cell r="AY129">
            <v>27125023</v>
          </cell>
          <cell r="AZ129">
            <v>25198875</v>
          </cell>
          <cell r="BA129">
            <v>25198875</v>
          </cell>
          <cell r="BB129">
            <v>25198875</v>
          </cell>
          <cell r="BC129">
            <v>24715716</v>
          </cell>
          <cell r="BD129">
            <v>24715716</v>
          </cell>
          <cell r="BE129">
            <v>24715716</v>
          </cell>
          <cell r="BF129">
            <v>24200293</v>
          </cell>
          <cell r="BG129">
            <v>24200293</v>
          </cell>
          <cell r="BH129">
            <v>24200293</v>
          </cell>
          <cell r="BI129">
            <v>23713049</v>
          </cell>
          <cell r="BJ129">
            <v>23713049</v>
          </cell>
          <cell r="BK129">
            <v>23713049</v>
          </cell>
          <cell r="BL129">
            <v>29672933</v>
          </cell>
          <cell r="BM129">
            <v>29672933</v>
          </cell>
          <cell r="BN129">
            <v>29672933</v>
          </cell>
          <cell r="BO129">
            <v>29208554</v>
          </cell>
          <cell r="BP129">
            <v>29208554</v>
          </cell>
          <cell r="BQ129">
            <v>29208554</v>
          </cell>
          <cell r="BR129">
            <v>28773624</v>
          </cell>
          <cell r="BS129">
            <v>28773624</v>
          </cell>
          <cell r="BT129">
            <v>28773624</v>
          </cell>
          <cell r="BU129">
            <v>28357863</v>
          </cell>
          <cell r="BV129">
            <v>28357863</v>
          </cell>
          <cell r="BW129">
            <v>28357863</v>
          </cell>
          <cell r="BX129">
            <v>28607784</v>
          </cell>
          <cell r="BY129">
            <v>28607784</v>
          </cell>
          <cell r="BZ129">
            <v>28607784</v>
          </cell>
          <cell r="CA129">
            <v>28018094</v>
          </cell>
          <cell r="CB129">
            <v>28018094</v>
          </cell>
          <cell r="CC129">
            <v>28018094</v>
          </cell>
          <cell r="CD129">
            <v>27469279</v>
          </cell>
          <cell r="CE129">
            <v>27469279</v>
          </cell>
          <cell r="CF129">
            <v>27469279</v>
          </cell>
          <cell r="CG129">
            <v>26934905</v>
          </cell>
          <cell r="CH129">
            <v>26934905</v>
          </cell>
          <cell r="CI129">
            <v>26934905</v>
          </cell>
          <cell r="CJ129">
            <v>33407291</v>
          </cell>
          <cell r="CK129">
            <v>33407291</v>
          </cell>
          <cell r="CL129">
            <v>33407291</v>
          </cell>
          <cell r="CM129">
            <v>32711380</v>
          </cell>
          <cell r="CN129">
            <v>33636038</v>
          </cell>
          <cell r="CO129">
            <v>33636038</v>
          </cell>
          <cell r="CP129">
            <v>32940127</v>
          </cell>
          <cell r="CQ129">
            <v>32940127</v>
          </cell>
          <cell r="CR129">
            <v>32940127</v>
          </cell>
          <cell r="CS129">
            <v>31860403</v>
          </cell>
          <cell r="CT129">
            <v>31860403</v>
          </cell>
          <cell r="CU129">
            <v>31860403</v>
          </cell>
          <cell r="CV129">
            <v>25456886</v>
          </cell>
          <cell r="CW129">
            <v>25456886</v>
          </cell>
          <cell r="CX129">
            <v>25456886</v>
          </cell>
          <cell r="CY129">
            <v>24902562</v>
          </cell>
          <cell r="CZ129">
            <v>24902562</v>
          </cell>
          <cell r="DA129">
            <v>24902562</v>
          </cell>
          <cell r="DB129">
            <v>24338045</v>
          </cell>
          <cell r="DC129">
            <v>24338045</v>
          </cell>
          <cell r="DD129">
            <v>24338045</v>
          </cell>
          <cell r="DE129">
            <v>23778625</v>
          </cell>
          <cell r="DF129">
            <v>23778625</v>
          </cell>
          <cell r="DG129">
            <v>23778625</v>
          </cell>
          <cell r="DH129">
            <v>30211330</v>
          </cell>
        </row>
        <row r="130">
          <cell r="A130" t="str">
            <v>1823202</v>
          </cell>
          <cell r="B130" t="str">
            <v>1823202</v>
          </cell>
          <cell r="C130" t="str">
            <v>Oth Reg Asset-Rate Case Expense Non-Current</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550933</v>
          </cell>
          <cell r="CG130">
            <v>1385701</v>
          </cell>
          <cell r="CH130">
            <v>0</v>
          </cell>
          <cell r="CI130">
            <v>0</v>
          </cell>
          <cell r="CJ130">
            <v>820299.24</v>
          </cell>
          <cell r="CK130">
            <v>805150.02</v>
          </cell>
          <cell r="CL130">
            <v>770191.46</v>
          </cell>
          <cell r="CM130">
            <v>735208.32</v>
          </cell>
          <cell r="CN130">
            <v>700198.40000000002</v>
          </cell>
          <cell r="CO130">
            <v>670504.31999999995</v>
          </cell>
          <cell r="CP130">
            <v>635214.62</v>
          </cell>
          <cell r="CQ130">
            <v>599924.92000000004</v>
          </cell>
          <cell r="CR130">
            <v>564635.22</v>
          </cell>
          <cell r="CS130">
            <v>529345.52</v>
          </cell>
          <cell r="CT130">
            <v>494055.82</v>
          </cell>
          <cell r="CU130">
            <v>458766.12</v>
          </cell>
          <cell r="CV130">
            <v>423476.42</v>
          </cell>
          <cell r="CW130">
            <v>388186.72</v>
          </cell>
          <cell r="CX130">
            <v>352897.02</v>
          </cell>
          <cell r="CY130">
            <v>317607.32</v>
          </cell>
          <cell r="CZ130">
            <v>282317.62</v>
          </cell>
          <cell r="DA130">
            <v>247027.92</v>
          </cell>
          <cell r="DB130">
            <v>211738.22</v>
          </cell>
          <cell r="DC130">
            <v>176448.52</v>
          </cell>
          <cell r="DD130">
            <v>141158.82</v>
          </cell>
          <cell r="DE130">
            <v>105869.12</v>
          </cell>
          <cell r="DF130">
            <v>70579.42</v>
          </cell>
          <cell r="DG130">
            <v>35289.72</v>
          </cell>
          <cell r="DH130">
            <v>0</v>
          </cell>
        </row>
        <row r="131">
          <cell r="A131" t="str">
            <v>1823205</v>
          </cell>
          <cell r="B131" t="str">
            <v>1823205</v>
          </cell>
          <cell r="C131" t="str">
            <v>LT Deriv-Regulatory</v>
          </cell>
          <cell r="D131">
            <v>28565</v>
          </cell>
          <cell r="E131">
            <v>16835</v>
          </cell>
          <cell r="F131">
            <v>11185</v>
          </cell>
          <cell r="G131">
            <v>18490</v>
          </cell>
          <cell r="H131">
            <v>800</v>
          </cell>
          <cell r="I131">
            <v>48975</v>
          </cell>
          <cell r="J131">
            <v>58765</v>
          </cell>
          <cell r="K131">
            <v>780035</v>
          </cell>
          <cell r="L131">
            <v>352435</v>
          </cell>
          <cell r="M131">
            <v>394780</v>
          </cell>
          <cell r="N131">
            <v>777250</v>
          </cell>
          <cell r="O131">
            <v>688750</v>
          </cell>
          <cell r="P131">
            <v>1593250</v>
          </cell>
          <cell r="Q131">
            <v>1274880</v>
          </cell>
          <cell r="R131">
            <v>1033930</v>
          </cell>
          <cell r="S131">
            <v>879585</v>
          </cell>
          <cell r="T131">
            <v>655185</v>
          </cell>
          <cell r="U131">
            <v>552090</v>
          </cell>
          <cell r="V131">
            <v>314130</v>
          </cell>
          <cell r="W131">
            <v>359700</v>
          </cell>
          <cell r="X131">
            <v>439100</v>
          </cell>
          <cell r="Y131">
            <v>594500</v>
          </cell>
          <cell r="Z131">
            <v>853370</v>
          </cell>
          <cell r="AA131">
            <v>880470</v>
          </cell>
          <cell r="AB131">
            <v>668840</v>
          </cell>
          <cell r="AC131">
            <v>461890</v>
          </cell>
          <cell r="AD131">
            <v>401870</v>
          </cell>
          <cell r="AE131">
            <v>134920</v>
          </cell>
          <cell r="AF131">
            <v>16250</v>
          </cell>
          <cell r="AG131">
            <v>15820</v>
          </cell>
          <cell r="AH131">
            <v>0</v>
          </cell>
          <cell r="AI131">
            <v>0</v>
          </cell>
          <cell r="AJ131">
            <v>480</v>
          </cell>
          <cell r="AK131">
            <v>18320</v>
          </cell>
          <cell r="AL131">
            <v>530</v>
          </cell>
          <cell r="AM131">
            <v>2800</v>
          </cell>
          <cell r="AN131">
            <v>0</v>
          </cell>
          <cell r="AO131">
            <v>600</v>
          </cell>
          <cell r="AP131">
            <v>31075</v>
          </cell>
          <cell r="AQ131">
            <v>4235</v>
          </cell>
          <cell r="AR131">
            <v>0</v>
          </cell>
          <cell r="AS131">
            <v>520</v>
          </cell>
          <cell r="AT131">
            <v>1980</v>
          </cell>
          <cell r="AU131">
            <v>7950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row>
        <row r="132">
          <cell r="A132" t="str">
            <v>1823208</v>
          </cell>
          <cell r="B132" t="str">
            <v>1823208</v>
          </cell>
          <cell r="C132" t="str">
            <v>Oth Reg Asset-Deft Loss Prop Sales Non-Current</v>
          </cell>
          <cell r="BY132">
            <v>0</v>
          </cell>
          <cell r="BZ132">
            <v>242507.17</v>
          </cell>
          <cell r="CA132">
            <v>242768.72</v>
          </cell>
          <cell r="CB132">
            <v>237603.43</v>
          </cell>
          <cell r="CC132">
            <v>232438.14</v>
          </cell>
          <cell r="CD132">
            <v>227272.85</v>
          </cell>
          <cell r="CE132">
            <v>222107.56</v>
          </cell>
          <cell r="CF132">
            <v>216942.27</v>
          </cell>
          <cell r="CG132">
            <v>211776.98</v>
          </cell>
          <cell r="CH132">
            <v>206611.69</v>
          </cell>
          <cell r="CI132">
            <v>201446.39999999999</v>
          </cell>
          <cell r="CJ132">
            <v>196281.11</v>
          </cell>
          <cell r="CK132">
            <v>191115.82</v>
          </cell>
          <cell r="CL132">
            <v>185950.53</v>
          </cell>
          <cell r="CM132">
            <v>180785.24</v>
          </cell>
          <cell r="CN132">
            <v>175619.95</v>
          </cell>
          <cell r="CO132">
            <v>170454.66</v>
          </cell>
          <cell r="CP132">
            <v>165289.37</v>
          </cell>
          <cell r="CQ132">
            <v>160124.07999999999</v>
          </cell>
          <cell r="CR132">
            <v>154958.79</v>
          </cell>
          <cell r="CS132">
            <v>149793.5</v>
          </cell>
          <cell r="CT132">
            <v>144628.21</v>
          </cell>
          <cell r="CU132">
            <v>139462.92000000001</v>
          </cell>
          <cell r="CV132">
            <v>134297.63</v>
          </cell>
          <cell r="CW132">
            <v>129132.34</v>
          </cell>
          <cell r="CX132">
            <v>123967.05</v>
          </cell>
          <cell r="CY132">
            <v>118801.76</v>
          </cell>
          <cell r="CZ132">
            <v>113636.47</v>
          </cell>
          <cell r="DA132">
            <v>108471.18</v>
          </cell>
          <cell r="DB132">
            <v>103305.89</v>
          </cell>
          <cell r="DC132">
            <v>98140.6</v>
          </cell>
          <cell r="DD132">
            <v>92975.31</v>
          </cell>
          <cell r="DE132">
            <v>87810.02</v>
          </cell>
          <cell r="DF132">
            <v>82644.73</v>
          </cell>
          <cell r="DG132">
            <v>77479.44</v>
          </cell>
          <cell r="DH132">
            <v>72314.149999999994</v>
          </cell>
        </row>
        <row r="133">
          <cell r="A133">
            <v>1823210</v>
          </cell>
          <cell r="B133">
            <v>1823210</v>
          </cell>
          <cell r="C133" t="str">
            <v>Oth Reg Asset-Non-Capital SW Project Costs NC</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550933</v>
          </cell>
          <cell r="CG133">
            <v>1385701</v>
          </cell>
          <cell r="CH133">
            <v>0</v>
          </cell>
          <cell r="CI133">
            <v>0</v>
          </cell>
          <cell r="CJ133">
            <v>52454.57</v>
          </cell>
          <cell r="CK133">
            <v>15526.83</v>
          </cell>
          <cell r="CL133">
            <v>281372.48</v>
          </cell>
          <cell r="CM133">
            <v>289771.12</v>
          </cell>
          <cell r="CN133">
            <v>289771.12</v>
          </cell>
          <cell r="CO133">
            <v>309148.39</v>
          </cell>
          <cell r="CP133">
            <v>318939.01</v>
          </cell>
          <cell r="CQ133">
            <v>327079.78999999998</v>
          </cell>
          <cell r="CR133">
            <v>335363.44</v>
          </cell>
          <cell r="CS133">
            <v>349833.47</v>
          </cell>
          <cell r="CT133">
            <v>366468.03</v>
          </cell>
          <cell r="CU133">
            <v>378525.37</v>
          </cell>
          <cell r="CV133">
            <v>384858.52</v>
          </cell>
          <cell r="CW133">
            <v>407631.05</v>
          </cell>
          <cell r="CX133">
            <v>407631.05</v>
          </cell>
          <cell r="CY133">
            <v>428358.92</v>
          </cell>
          <cell r="CZ133">
            <v>428358.92</v>
          </cell>
          <cell r="DA133">
            <v>449578.52</v>
          </cell>
          <cell r="DB133">
            <v>455078.41</v>
          </cell>
          <cell r="DC133">
            <v>457004.91</v>
          </cell>
          <cell r="DD133">
            <v>458447.89</v>
          </cell>
          <cell r="DE133">
            <v>463416.02</v>
          </cell>
          <cell r="DF133">
            <v>463416.02</v>
          </cell>
          <cell r="DG133">
            <v>465458.8</v>
          </cell>
          <cell r="DH133">
            <v>468317.65</v>
          </cell>
        </row>
        <row r="134">
          <cell r="A134" t="str">
            <v>1823245</v>
          </cell>
          <cell r="B134" t="str">
            <v>1823245</v>
          </cell>
          <cell r="C134" t="str">
            <v>RegAst EnvRem Cst NC</v>
          </cell>
          <cell r="D134">
            <v>0</v>
          </cell>
          <cell r="E134">
            <v>0</v>
          </cell>
          <cell r="F134">
            <v>0</v>
          </cell>
          <cell r="G134">
            <v>0</v>
          </cell>
          <cell r="H134">
            <v>0</v>
          </cell>
          <cell r="I134">
            <v>0</v>
          </cell>
          <cell r="J134">
            <v>0</v>
          </cell>
          <cell r="K134">
            <v>0</v>
          </cell>
          <cell r="L134">
            <v>0</v>
          </cell>
          <cell r="M134">
            <v>18363858.07</v>
          </cell>
          <cell r="N134">
            <v>18398728.989999998</v>
          </cell>
          <cell r="O134">
            <v>18714715.5</v>
          </cell>
          <cell r="P134">
            <v>19130863.190000001</v>
          </cell>
          <cell r="Q134">
            <v>19251652.18</v>
          </cell>
          <cell r="R134">
            <v>19262416.27</v>
          </cell>
          <cell r="S134">
            <v>19451612.09</v>
          </cell>
          <cell r="T134">
            <v>17884838.050000001</v>
          </cell>
          <cell r="U134">
            <v>18061345.780000001</v>
          </cell>
          <cell r="V134">
            <v>18529860.780000001</v>
          </cell>
          <cell r="W134">
            <v>18717871.989999998</v>
          </cell>
          <cell r="X134">
            <v>18579730.59</v>
          </cell>
          <cell r="Y134">
            <v>18707942.100000001</v>
          </cell>
          <cell r="Z134">
            <v>18783072.949999999</v>
          </cell>
          <cell r="AA134">
            <v>19275563.25</v>
          </cell>
          <cell r="AB134">
            <v>19351996.600000001</v>
          </cell>
          <cell r="AC134">
            <v>19491791.550000001</v>
          </cell>
          <cell r="AD134">
            <v>19532169.859999999</v>
          </cell>
          <cell r="AE134">
            <v>19717101.739999998</v>
          </cell>
          <cell r="AF134">
            <v>19704177.66</v>
          </cell>
          <cell r="AG134">
            <v>19746889.16</v>
          </cell>
          <cell r="AH134">
            <v>20157733.030000001</v>
          </cell>
          <cell r="AI134">
            <v>20153677.280000001</v>
          </cell>
          <cell r="AJ134">
            <v>20268550.670000002</v>
          </cell>
          <cell r="AK134">
            <v>20253233.98</v>
          </cell>
          <cell r="AL134">
            <v>20268550.670000002</v>
          </cell>
          <cell r="AM134">
            <v>20414253.219999999</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-5792407.5999999996</v>
          </cell>
          <cell r="BJ134">
            <v>-6058410.2699999996</v>
          </cell>
          <cell r="BK134">
            <v>-5508665.9900000002</v>
          </cell>
          <cell r="BL134">
            <v>-5357398.4000000004</v>
          </cell>
          <cell r="BM134">
            <v>-5328923.1500000004</v>
          </cell>
          <cell r="BN134">
            <v>-4528553.33</v>
          </cell>
          <cell r="BO134">
            <v>-4422102.78</v>
          </cell>
          <cell r="BP134">
            <v>-3869786.44</v>
          </cell>
          <cell r="BQ134">
            <v>-3204277.27</v>
          </cell>
          <cell r="BR134">
            <v>-2531784.81</v>
          </cell>
          <cell r="BS134">
            <v>-2449547.7200000002</v>
          </cell>
          <cell r="BT134">
            <v>-2315438.73</v>
          </cell>
          <cell r="BU134">
            <v>-1380738.59</v>
          </cell>
          <cell r="BV134">
            <v>-1310066.8999999999</v>
          </cell>
          <cell r="BW134">
            <v>-620994.42000000004</v>
          </cell>
          <cell r="BX134">
            <v>-844525.4</v>
          </cell>
          <cell r="BY134">
            <v>-869902.38</v>
          </cell>
          <cell r="BZ134">
            <v>-769991.41</v>
          </cell>
          <cell r="CA134">
            <v>-482200.19</v>
          </cell>
          <cell r="CB134">
            <v>-447003.73</v>
          </cell>
          <cell r="CC134">
            <v>-39999.08</v>
          </cell>
          <cell r="CD134">
            <v>180217.56</v>
          </cell>
          <cell r="CE134">
            <v>464250.37</v>
          </cell>
          <cell r="CF134">
            <v>760879.01</v>
          </cell>
          <cell r="CG134">
            <v>1217000.7</v>
          </cell>
          <cell r="CH134">
            <v>1968452.79</v>
          </cell>
          <cell r="CI134">
            <v>3632193.85</v>
          </cell>
          <cell r="CJ134">
            <v>3601049.9</v>
          </cell>
          <cell r="CK134">
            <v>3490704.27</v>
          </cell>
          <cell r="CL134">
            <v>4316685.58</v>
          </cell>
          <cell r="CM134">
            <v>4851445.0199999996</v>
          </cell>
          <cell r="CN134">
            <v>4845790.1500000004</v>
          </cell>
          <cell r="CO134">
            <v>6315838.2199999997</v>
          </cell>
          <cell r="CP134">
            <v>6336294.9900000002</v>
          </cell>
          <cell r="CQ134">
            <v>7145631.7400000002</v>
          </cell>
          <cell r="CR134">
            <v>7108228.9699999997</v>
          </cell>
          <cell r="CS134">
            <v>5678650.8300000001</v>
          </cell>
          <cell r="CT134">
            <v>5843976.3399999999</v>
          </cell>
          <cell r="CU134">
            <v>6782716.7699999996</v>
          </cell>
          <cell r="CV134">
            <v>6887518.2800000003</v>
          </cell>
          <cell r="CW134">
            <v>7029960.8499999996</v>
          </cell>
          <cell r="CX134">
            <v>7050080.9900000002</v>
          </cell>
          <cell r="CY134">
            <v>7027005.9800000004</v>
          </cell>
          <cell r="CZ134">
            <v>7040378.4199999999</v>
          </cell>
          <cell r="DA134">
            <v>7219712.9299999997</v>
          </cell>
          <cell r="DB134">
            <v>7229800.8600000003</v>
          </cell>
          <cell r="DC134">
            <v>7180908.0899999999</v>
          </cell>
          <cell r="DD134">
            <v>7178924.9699999997</v>
          </cell>
          <cell r="DE134">
            <v>7237771.9100000001</v>
          </cell>
          <cell r="DF134">
            <v>6522778.4800000004</v>
          </cell>
          <cell r="DG134">
            <v>6494591.1299999999</v>
          </cell>
          <cell r="DH134">
            <v>6592523.5300000003</v>
          </cell>
        </row>
        <row r="135">
          <cell r="A135" t="str">
            <v>1823325</v>
          </cell>
          <cell r="B135" t="str">
            <v>1823325</v>
          </cell>
          <cell r="C135" t="str">
            <v>Oth Reg Asset-Emergency Conditions - COVID-19</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550933</v>
          </cell>
          <cell r="CG135">
            <v>1385701</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row>
        <row r="136">
          <cell r="A136" t="str">
            <v>1823612</v>
          </cell>
          <cell r="B136" t="str">
            <v>1823612</v>
          </cell>
          <cell r="C136" t="str">
            <v>Oth Reg Asset-Deferred Tax Reform Impact Current</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457013</v>
          </cell>
          <cell r="DB136">
            <v>0</v>
          </cell>
          <cell r="DC136">
            <v>91402.5</v>
          </cell>
          <cell r="DD136">
            <v>182805</v>
          </cell>
          <cell r="DE136">
            <v>0</v>
          </cell>
          <cell r="DF136">
            <v>91402.5</v>
          </cell>
          <cell r="DG136">
            <v>182805</v>
          </cell>
          <cell r="DH136">
            <v>0</v>
          </cell>
        </row>
        <row r="137">
          <cell r="A137">
            <v>1823331</v>
          </cell>
          <cell r="B137">
            <v>1823331</v>
          </cell>
          <cell r="C137" t="str">
            <v>Oth Reg Asset-TIMP Accrual - Current</v>
          </cell>
          <cell r="CK137">
            <v>-119789.58</v>
          </cell>
          <cell r="CL137">
            <v>-239579.16</v>
          </cell>
          <cell r="CM137">
            <v>175667.09</v>
          </cell>
          <cell r="CN137">
            <v>56716.68</v>
          </cell>
          <cell r="CO137">
            <v>-52377.9</v>
          </cell>
          <cell r="CP137">
            <v>441305.99</v>
          </cell>
          <cell r="CQ137">
            <v>835316.04</v>
          </cell>
          <cell r="CR137">
            <v>863608.46</v>
          </cell>
          <cell r="CS137">
            <v>913782.88</v>
          </cell>
          <cell r="CT137">
            <v>878248.4</v>
          </cell>
          <cell r="CU137">
            <v>758458.82</v>
          </cell>
          <cell r="CV137">
            <v>638669.24</v>
          </cell>
          <cell r="CW137">
            <v>518879.66</v>
          </cell>
          <cell r="CX137">
            <v>399090.08</v>
          </cell>
          <cell r="CY137">
            <v>279300.5</v>
          </cell>
          <cell r="CZ137">
            <v>234692.92</v>
          </cell>
          <cell r="DA137">
            <v>114903.34</v>
          </cell>
          <cell r="DB137">
            <v>6231.26</v>
          </cell>
          <cell r="DC137">
            <v>-29049.279999999999</v>
          </cell>
          <cell r="DD137">
            <v>-66455.78</v>
          </cell>
          <cell r="DE137">
            <v>0</v>
          </cell>
          <cell r="DF137">
            <v>0</v>
          </cell>
          <cell r="DG137">
            <v>35558.339999999997</v>
          </cell>
          <cell r="DH137">
            <v>425186.98</v>
          </cell>
        </row>
        <row r="138">
          <cell r="A138" t="str">
            <v>1823340</v>
          </cell>
          <cell r="B138" t="str">
            <v>1823340</v>
          </cell>
          <cell r="C138" t="str">
            <v>RegAst Env Rem</v>
          </cell>
          <cell r="D138">
            <v>40439944</v>
          </cell>
          <cell r="E138">
            <v>40439944</v>
          </cell>
          <cell r="F138">
            <v>40439944</v>
          </cell>
          <cell r="G138">
            <v>38439944</v>
          </cell>
          <cell r="H138">
            <v>38439944</v>
          </cell>
          <cell r="I138">
            <v>38439944</v>
          </cell>
          <cell r="J138">
            <v>35939944</v>
          </cell>
          <cell r="K138">
            <v>35939944</v>
          </cell>
          <cell r="L138">
            <v>35939944</v>
          </cell>
          <cell r="M138">
            <v>33284401</v>
          </cell>
          <cell r="N138">
            <v>33284401</v>
          </cell>
          <cell r="O138">
            <v>33284401</v>
          </cell>
          <cell r="P138">
            <v>33295565</v>
          </cell>
          <cell r="Q138">
            <v>33295565</v>
          </cell>
          <cell r="R138">
            <v>33295565</v>
          </cell>
          <cell r="S138">
            <v>33295565</v>
          </cell>
          <cell r="T138">
            <v>33295565</v>
          </cell>
          <cell r="U138">
            <v>33295565</v>
          </cell>
          <cell r="V138">
            <v>33295565</v>
          </cell>
          <cell r="W138">
            <v>33295565</v>
          </cell>
          <cell r="X138">
            <v>33295565</v>
          </cell>
          <cell r="Y138">
            <v>33295565</v>
          </cell>
          <cell r="Z138">
            <v>33295565</v>
          </cell>
          <cell r="AA138">
            <v>33295565</v>
          </cell>
          <cell r="AB138">
            <v>33938077</v>
          </cell>
          <cell r="AC138">
            <v>33938077</v>
          </cell>
          <cell r="AD138">
            <v>33938077</v>
          </cell>
          <cell r="AE138">
            <v>33938077</v>
          </cell>
          <cell r="AF138">
            <v>33938077</v>
          </cell>
          <cell r="AG138">
            <v>33938077</v>
          </cell>
          <cell r="AH138">
            <v>33938077</v>
          </cell>
          <cell r="AI138">
            <v>33938077</v>
          </cell>
          <cell r="AJ138">
            <v>33938077</v>
          </cell>
          <cell r="AK138">
            <v>33938077</v>
          </cell>
          <cell r="AL138">
            <v>33938077</v>
          </cell>
          <cell r="AM138">
            <v>33938077</v>
          </cell>
          <cell r="AN138">
            <v>31563329</v>
          </cell>
          <cell r="AO138">
            <v>31563329</v>
          </cell>
          <cell r="AP138">
            <v>31563329</v>
          </cell>
          <cell r="AQ138">
            <v>30390812</v>
          </cell>
          <cell r="AR138">
            <v>30390812</v>
          </cell>
          <cell r="AS138">
            <v>30390812</v>
          </cell>
          <cell r="AT138">
            <v>30390812</v>
          </cell>
          <cell r="AU138">
            <v>30390812</v>
          </cell>
          <cell r="AV138">
            <v>30390812</v>
          </cell>
          <cell r="AW138">
            <v>30390812</v>
          </cell>
          <cell r="AX138">
            <v>30390812</v>
          </cell>
          <cell r="AY138">
            <v>30390812</v>
          </cell>
          <cell r="AZ138">
            <v>30039284</v>
          </cell>
          <cell r="BA138">
            <v>30039284</v>
          </cell>
          <cell r="BB138">
            <v>30039284</v>
          </cell>
          <cell r="BC138">
            <v>27963655</v>
          </cell>
          <cell r="BD138">
            <v>27963655</v>
          </cell>
          <cell r="BE138">
            <v>27963655</v>
          </cell>
          <cell r="BF138">
            <v>27963655</v>
          </cell>
          <cell r="BG138">
            <v>27963655</v>
          </cell>
          <cell r="BH138">
            <v>27963655</v>
          </cell>
          <cell r="BI138">
            <v>27963655</v>
          </cell>
          <cell r="BJ138">
            <v>27963655</v>
          </cell>
          <cell r="BK138">
            <v>27963655</v>
          </cell>
          <cell r="BL138">
            <v>27962095</v>
          </cell>
          <cell r="BM138">
            <v>27962095</v>
          </cell>
          <cell r="BN138">
            <v>27962095</v>
          </cell>
          <cell r="BO138">
            <v>27962095</v>
          </cell>
          <cell r="BP138">
            <v>27962095</v>
          </cell>
          <cell r="BQ138">
            <v>27962095</v>
          </cell>
          <cell r="BR138">
            <v>27962095</v>
          </cell>
          <cell r="BS138">
            <v>27962095</v>
          </cell>
          <cell r="BT138">
            <v>27962095</v>
          </cell>
          <cell r="BU138">
            <v>27962095</v>
          </cell>
          <cell r="BV138">
            <v>27962095</v>
          </cell>
          <cell r="BW138">
            <v>27962095</v>
          </cell>
          <cell r="BX138">
            <v>20805063</v>
          </cell>
          <cell r="BY138">
            <v>20805063</v>
          </cell>
          <cell r="BZ138">
            <v>20805063</v>
          </cell>
          <cell r="CA138">
            <v>20805063</v>
          </cell>
          <cell r="CB138">
            <v>20805063</v>
          </cell>
          <cell r="CC138">
            <v>20805063</v>
          </cell>
          <cell r="CD138">
            <v>20805063</v>
          </cell>
          <cell r="CE138">
            <v>20805063</v>
          </cell>
          <cell r="CF138">
            <v>20805063</v>
          </cell>
          <cell r="CG138">
            <v>20805063</v>
          </cell>
          <cell r="CH138">
            <v>20805063</v>
          </cell>
          <cell r="CI138">
            <v>20805063</v>
          </cell>
          <cell r="CJ138">
            <v>17404076</v>
          </cell>
          <cell r="CK138">
            <v>17404076</v>
          </cell>
          <cell r="CL138">
            <v>17404076</v>
          </cell>
          <cell r="CM138">
            <v>17404076</v>
          </cell>
          <cell r="CN138">
            <v>17404076</v>
          </cell>
          <cell r="CO138">
            <v>17404076</v>
          </cell>
          <cell r="CP138">
            <v>17404076</v>
          </cell>
          <cell r="CQ138">
            <v>17404076</v>
          </cell>
          <cell r="CR138">
            <v>17404076</v>
          </cell>
          <cell r="CS138">
            <v>17404076</v>
          </cell>
          <cell r="CT138">
            <v>17404076</v>
          </cell>
          <cell r="CU138">
            <v>17404076</v>
          </cell>
          <cell r="CV138">
            <v>13903851</v>
          </cell>
          <cell r="CW138">
            <v>13903851</v>
          </cell>
          <cell r="CX138">
            <v>13903851</v>
          </cell>
          <cell r="CY138">
            <v>13903851</v>
          </cell>
          <cell r="CZ138">
            <v>13903851</v>
          </cell>
          <cell r="DA138">
            <v>13903851</v>
          </cell>
          <cell r="DB138">
            <v>13903851</v>
          </cell>
          <cell r="DC138">
            <v>13903851</v>
          </cell>
          <cell r="DD138">
            <v>13903851</v>
          </cell>
          <cell r="DE138">
            <v>13903851</v>
          </cell>
          <cell r="DF138">
            <v>13903851</v>
          </cell>
          <cell r="DG138">
            <v>13903851</v>
          </cell>
          <cell r="DH138">
            <v>12618620</v>
          </cell>
        </row>
        <row r="139">
          <cell r="A139" t="str">
            <v>1823345</v>
          </cell>
          <cell r="B139" t="str">
            <v>1823345</v>
          </cell>
          <cell r="C139" t="str">
            <v>RegAst Env Rem Csts</v>
          </cell>
          <cell r="D139">
            <v>10963627.550000001</v>
          </cell>
          <cell r="E139">
            <v>10991818.220000001</v>
          </cell>
          <cell r="F139">
            <v>12906272.789999999</v>
          </cell>
          <cell r="G139">
            <v>12938463.060000001</v>
          </cell>
          <cell r="H139">
            <v>14172729.17</v>
          </cell>
          <cell r="I139">
            <v>15034002.460000001</v>
          </cell>
          <cell r="J139">
            <v>16051375.82</v>
          </cell>
          <cell r="K139">
            <v>17339455.219999999</v>
          </cell>
          <cell r="L139">
            <v>18912768.109999999</v>
          </cell>
          <cell r="M139">
            <v>640785.9</v>
          </cell>
          <cell r="N139">
            <v>640000</v>
          </cell>
          <cell r="O139">
            <v>640000</v>
          </cell>
          <cell r="P139">
            <v>640000</v>
          </cell>
          <cell r="Q139">
            <v>640000</v>
          </cell>
          <cell r="R139">
            <v>640000</v>
          </cell>
          <cell r="S139">
            <v>640000</v>
          </cell>
          <cell r="T139">
            <v>640000</v>
          </cell>
          <cell r="U139">
            <v>640000</v>
          </cell>
          <cell r="V139">
            <v>640000</v>
          </cell>
          <cell r="W139">
            <v>651387.55000000005</v>
          </cell>
          <cell r="X139">
            <v>640000</v>
          </cell>
          <cell r="Y139">
            <v>640000</v>
          </cell>
          <cell r="Z139">
            <v>640000</v>
          </cell>
          <cell r="AA139">
            <v>640000</v>
          </cell>
          <cell r="AB139">
            <v>640000</v>
          </cell>
          <cell r="AC139">
            <v>651508.61</v>
          </cell>
          <cell r="AD139">
            <v>651236.93000000005</v>
          </cell>
          <cell r="AE139">
            <v>640000</v>
          </cell>
          <cell r="AF139">
            <v>640000</v>
          </cell>
          <cell r="AG139">
            <v>640000</v>
          </cell>
          <cell r="AH139">
            <v>640000</v>
          </cell>
          <cell r="AI139">
            <v>640000</v>
          </cell>
          <cell r="AJ139">
            <v>640000</v>
          </cell>
          <cell r="AK139">
            <v>640000</v>
          </cell>
          <cell r="AL139">
            <v>650137.81000000006</v>
          </cell>
          <cell r="AM139">
            <v>640000</v>
          </cell>
          <cell r="AN139">
            <v>5386294.5099999998</v>
          </cell>
          <cell r="AO139">
            <v>5489687.9500000002</v>
          </cell>
          <cell r="AP139">
            <v>4791816.68</v>
          </cell>
          <cell r="AQ139">
            <v>4420507.99</v>
          </cell>
          <cell r="AR139">
            <v>4091990.79</v>
          </cell>
          <cell r="AS139">
            <v>3912201.07</v>
          </cell>
          <cell r="AT139">
            <v>3515072.9</v>
          </cell>
          <cell r="AU139">
            <v>3149354.11</v>
          </cell>
          <cell r="AV139">
            <v>3302798.76</v>
          </cell>
          <cell r="AW139">
            <v>2483445.73</v>
          </cell>
          <cell r="AX139">
            <v>2167939.35</v>
          </cell>
          <cell r="AY139">
            <v>1787053.5</v>
          </cell>
          <cell r="AZ139">
            <v>2643026.87</v>
          </cell>
          <cell r="BA139">
            <v>2921728.14</v>
          </cell>
          <cell r="BB139">
            <v>3413269.72</v>
          </cell>
          <cell r="BC139">
            <v>571963.46</v>
          </cell>
          <cell r="BD139">
            <v>781297.63</v>
          </cell>
          <cell r="BE139">
            <v>861189.82</v>
          </cell>
          <cell r="BF139">
            <v>932580.57</v>
          </cell>
          <cell r="BG139">
            <v>1299590.25</v>
          </cell>
          <cell r="BH139">
            <v>1540588.71</v>
          </cell>
          <cell r="BI139">
            <v>927790</v>
          </cell>
          <cell r="BJ139">
            <v>927790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1000000</v>
          </cell>
          <cell r="CK139">
            <v>1000000</v>
          </cell>
          <cell r="CL139">
            <v>1000000</v>
          </cell>
          <cell r="CM139">
            <v>1000000</v>
          </cell>
          <cell r="CN139">
            <v>1000000</v>
          </cell>
          <cell r="CO139">
            <v>1000000</v>
          </cell>
          <cell r="CP139">
            <v>1000000</v>
          </cell>
          <cell r="CQ139">
            <v>1000000</v>
          </cell>
          <cell r="CR139">
            <v>1000000</v>
          </cell>
          <cell r="CS139">
            <v>1000000</v>
          </cell>
          <cell r="CT139">
            <v>1000000</v>
          </cell>
          <cell r="CU139">
            <v>1000000</v>
          </cell>
          <cell r="CV139">
            <v>1000000</v>
          </cell>
          <cell r="CW139">
            <v>1000000</v>
          </cell>
          <cell r="CX139">
            <v>1000000</v>
          </cell>
          <cell r="CY139">
            <v>1000000</v>
          </cell>
          <cell r="CZ139">
            <v>1000000</v>
          </cell>
          <cell r="DA139">
            <v>1000000</v>
          </cell>
          <cell r="DB139">
            <v>1000000</v>
          </cell>
          <cell r="DC139">
            <v>999000</v>
          </cell>
          <cell r="DD139">
            <v>1000000</v>
          </cell>
          <cell r="DE139">
            <v>1000000</v>
          </cell>
          <cell r="DF139">
            <v>1000000</v>
          </cell>
          <cell r="DG139">
            <v>1000000</v>
          </cell>
          <cell r="DH139">
            <v>1000000</v>
          </cell>
        </row>
        <row r="140">
          <cell r="A140" t="str">
            <v>1823610</v>
          </cell>
          <cell r="B140" t="str">
            <v>1823610</v>
          </cell>
          <cell r="C140" t="str">
            <v>Reg Ast FAS109 ITax</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45567.42</v>
          </cell>
          <cell r="BU140">
            <v>75174.31</v>
          </cell>
          <cell r="BV140">
            <v>98598.53</v>
          </cell>
          <cell r="BW140">
            <v>124843.7</v>
          </cell>
          <cell r="BX140">
            <v>158391.91</v>
          </cell>
          <cell r="BY140">
            <v>200733.99</v>
          </cell>
          <cell r="BZ140">
            <v>254402.09</v>
          </cell>
          <cell r="CA140">
            <v>316988.55</v>
          </cell>
          <cell r="CB140">
            <v>388324.47</v>
          </cell>
          <cell r="CC140">
            <v>475014.17</v>
          </cell>
          <cell r="CD140">
            <v>574265.81000000006</v>
          </cell>
          <cell r="CE140">
            <v>681120.1</v>
          </cell>
          <cell r="CF140">
            <v>800293</v>
          </cell>
          <cell r="CG140">
            <v>934111.41</v>
          </cell>
          <cell r="CH140">
            <v>1039552.16</v>
          </cell>
          <cell r="CI140">
            <v>1116898.8400000001</v>
          </cell>
          <cell r="CJ140">
            <v>1206726.8899999999</v>
          </cell>
          <cell r="CK140">
            <v>1307965.5900000001</v>
          </cell>
          <cell r="CL140">
            <v>1431380.41</v>
          </cell>
          <cell r="CM140">
            <v>1561950.37</v>
          </cell>
          <cell r="CN140">
            <v>1670561.21</v>
          </cell>
          <cell r="CO140">
            <v>1743753.73</v>
          </cell>
          <cell r="CP140">
            <v>1819694.46</v>
          </cell>
          <cell r="CQ140">
            <v>1902130.74</v>
          </cell>
          <cell r="CR140">
            <v>1994983.06</v>
          </cell>
          <cell r="CS140">
            <v>2096617.68</v>
          </cell>
          <cell r="CT140">
            <v>2205902.7200000002</v>
          </cell>
          <cell r="CU140">
            <v>2242783.67</v>
          </cell>
          <cell r="CV140">
            <v>2294930.2799999998</v>
          </cell>
          <cell r="CW140">
            <v>2353501.04</v>
          </cell>
          <cell r="CX140">
            <v>2417440.83</v>
          </cell>
          <cell r="CY140">
            <v>2487545.8199999998</v>
          </cell>
          <cell r="CZ140">
            <v>2564848.4300000002</v>
          </cell>
          <cell r="DA140">
            <v>2650622.31</v>
          </cell>
          <cell r="DB140">
            <v>2746845.6</v>
          </cell>
          <cell r="DC140">
            <v>2854530.05</v>
          </cell>
          <cell r="DD140">
            <v>2971109.13</v>
          </cell>
          <cell r="DE140">
            <v>3094220.84</v>
          </cell>
          <cell r="DF140">
            <v>3148450.49</v>
          </cell>
          <cell r="DG140">
            <v>3229076.42</v>
          </cell>
          <cell r="DH140">
            <v>3313117.81</v>
          </cell>
        </row>
        <row r="141">
          <cell r="A141" t="str">
            <v>1840500</v>
          </cell>
          <cell r="B141" t="str">
            <v>1840500</v>
          </cell>
          <cell r="C141" t="str">
            <v>CIS Intrfc Suspense</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row>
        <row r="142">
          <cell r="A142" t="str">
            <v>1840510</v>
          </cell>
          <cell r="B142" t="str">
            <v>1840510</v>
          </cell>
          <cell r="C142" t="str">
            <v>PP Intrfc Suspense</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row>
        <row r="143">
          <cell r="A143" t="str">
            <v>1840590</v>
          </cell>
          <cell r="B143" t="str">
            <v>1840590</v>
          </cell>
          <cell r="C143" t="str">
            <v>Intrfc Doc Balancing</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41828.07</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row>
        <row r="144">
          <cell r="A144" t="str">
            <v>1840591</v>
          </cell>
          <cell r="B144" t="str">
            <v>1840591</v>
          </cell>
          <cell r="C144" t="str">
            <v>HR Doc Balancing</v>
          </cell>
          <cell r="D144">
            <v>5502.76</v>
          </cell>
          <cell r="E144">
            <v>5562.76</v>
          </cell>
          <cell r="F144">
            <v>5622.76</v>
          </cell>
          <cell r="G144">
            <v>5682.76</v>
          </cell>
          <cell r="H144">
            <v>5742.76</v>
          </cell>
          <cell r="I144">
            <v>5802.76</v>
          </cell>
          <cell r="J144">
            <v>5862.76</v>
          </cell>
          <cell r="K144">
            <v>5922.76</v>
          </cell>
          <cell r="L144">
            <v>5982.76</v>
          </cell>
          <cell r="M144">
            <v>6042.76</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60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row>
        <row r="145">
          <cell r="A145" t="str">
            <v>1860020</v>
          </cell>
          <cell r="B145" t="str">
            <v>1860020</v>
          </cell>
          <cell r="C145" t="str">
            <v>DefDr SERP Trust</v>
          </cell>
          <cell r="AF145">
            <v>2950896</v>
          </cell>
          <cell r="AG145">
            <v>2950896</v>
          </cell>
          <cell r="AH145">
            <v>2950896</v>
          </cell>
          <cell r="AI145">
            <v>2950896</v>
          </cell>
          <cell r="AJ145">
            <v>2950896</v>
          </cell>
          <cell r="AK145">
            <v>2950896</v>
          </cell>
          <cell r="AL145">
            <v>2950896</v>
          </cell>
          <cell r="AM145">
            <v>2950896</v>
          </cell>
          <cell r="AN145">
            <v>2950896</v>
          </cell>
          <cell r="AO145">
            <v>2950896</v>
          </cell>
          <cell r="AP145">
            <v>2366610</v>
          </cell>
          <cell r="AQ145">
            <v>2366610</v>
          </cell>
          <cell r="AR145">
            <v>2366610</v>
          </cell>
          <cell r="AS145">
            <v>2366610</v>
          </cell>
          <cell r="AT145">
            <v>2366610</v>
          </cell>
          <cell r="AU145">
            <v>2366610</v>
          </cell>
          <cell r="AV145">
            <v>2366610</v>
          </cell>
          <cell r="AW145">
            <v>2366610</v>
          </cell>
          <cell r="AX145">
            <v>2366610</v>
          </cell>
          <cell r="AY145">
            <v>2366610</v>
          </cell>
          <cell r="AZ145">
            <v>2366610</v>
          </cell>
          <cell r="BA145">
            <v>2366610</v>
          </cell>
          <cell r="BB145">
            <v>2083308</v>
          </cell>
          <cell r="BC145">
            <v>2083308</v>
          </cell>
          <cell r="BD145">
            <v>2083308</v>
          </cell>
          <cell r="BE145">
            <v>2083308</v>
          </cell>
          <cell r="BF145">
            <v>2083308</v>
          </cell>
          <cell r="BG145">
            <v>2083308</v>
          </cell>
          <cell r="BH145">
            <v>2083308</v>
          </cell>
          <cell r="BI145">
            <v>2083308</v>
          </cell>
          <cell r="BJ145">
            <v>2083308</v>
          </cell>
          <cell r="BK145">
            <v>2083308</v>
          </cell>
          <cell r="BL145">
            <v>2083308</v>
          </cell>
          <cell r="BM145">
            <v>1876488</v>
          </cell>
          <cell r="BN145">
            <v>1876488</v>
          </cell>
          <cell r="BO145">
            <v>1876488</v>
          </cell>
          <cell r="BP145">
            <v>1876488</v>
          </cell>
          <cell r="BQ145">
            <v>1876488</v>
          </cell>
          <cell r="BR145">
            <v>1876488</v>
          </cell>
          <cell r="BS145">
            <v>1876488</v>
          </cell>
          <cell r="BT145">
            <v>1876488</v>
          </cell>
          <cell r="BU145">
            <v>1876488</v>
          </cell>
          <cell r="BV145">
            <v>1876488</v>
          </cell>
          <cell r="BW145">
            <v>1876488</v>
          </cell>
          <cell r="BX145">
            <v>1876488</v>
          </cell>
          <cell r="BY145">
            <v>1876488</v>
          </cell>
          <cell r="BZ145">
            <v>1876488</v>
          </cell>
          <cell r="CA145">
            <v>1876488</v>
          </cell>
          <cell r="CB145">
            <v>1876488</v>
          </cell>
          <cell r="CC145">
            <v>1876488</v>
          </cell>
          <cell r="CD145">
            <v>1876488</v>
          </cell>
          <cell r="CE145">
            <v>1876488</v>
          </cell>
          <cell r="CF145">
            <v>1876488</v>
          </cell>
          <cell r="CG145">
            <v>1876488</v>
          </cell>
          <cell r="CH145">
            <v>1876488</v>
          </cell>
          <cell r="CI145">
            <v>1876488</v>
          </cell>
          <cell r="CJ145">
            <v>1876488</v>
          </cell>
          <cell r="CK145">
            <v>1651972</v>
          </cell>
          <cell r="CL145">
            <v>1651972</v>
          </cell>
          <cell r="CM145">
            <v>1651972</v>
          </cell>
          <cell r="CN145">
            <v>1651972</v>
          </cell>
          <cell r="CO145">
            <v>1651972</v>
          </cell>
          <cell r="CP145">
            <v>1651972</v>
          </cell>
          <cell r="CQ145">
            <v>1651972</v>
          </cell>
          <cell r="CR145">
            <v>1651972</v>
          </cell>
          <cell r="CS145">
            <v>1651972</v>
          </cell>
          <cell r="CT145">
            <v>1651972</v>
          </cell>
          <cell r="CU145">
            <v>1651972</v>
          </cell>
          <cell r="CV145">
            <v>1651972</v>
          </cell>
          <cell r="CW145">
            <v>1651972</v>
          </cell>
          <cell r="CX145">
            <v>1474890</v>
          </cell>
          <cell r="CY145">
            <v>1474890</v>
          </cell>
          <cell r="CZ145">
            <v>1474890</v>
          </cell>
          <cell r="DA145">
            <v>1474890</v>
          </cell>
          <cell r="DB145">
            <v>1474890</v>
          </cell>
          <cell r="DC145">
            <v>1474890</v>
          </cell>
          <cell r="DD145">
            <v>1474890</v>
          </cell>
          <cell r="DE145">
            <v>1474890</v>
          </cell>
          <cell r="DF145">
            <v>1474890</v>
          </cell>
          <cell r="DG145">
            <v>1474890</v>
          </cell>
          <cell r="DH145">
            <v>1474890</v>
          </cell>
        </row>
        <row r="146">
          <cell r="A146" t="str">
            <v>1860800</v>
          </cell>
          <cell r="B146" t="str">
            <v>1860800</v>
          </cell>
          <cell r="C146" t="str">
            <v>DefDr Other</v>
          </cell>
          <cell r="D146">
            <v>86795.96</v>
          </cell>
          <cell r="E146">
            <v>88384</v>
          </cell>
          <cell r="F146">
            <v>89989.31</v>
          </cell>
          <cell r="G146">
            <v>90844.64</v>
          </cell>
          <cell r="H146">
            <v>99264.48</v>
          </cell>
          <cell r="I146">
            <v>110175.51</v>
          </cell>
          <cell r="J146">
            <v>76940.460000000006</v>
          </cell>
          <cell r="K146">
            <v>59996.959999999999</v>
          </cell>
          <cell r="L146">
            <v>58519.46</v>
          </cell>
          <cell r="M146">
            <v>62883.22</v>
          </cell>
          <cell r="N146">
            <v>65352.2</v>
          </cell>
          <cell r="O146">
            <v>65604.2</v>
          </cell>
          <cell r="P146">
            <v>68874.649999999994</v>
          </cell>
          <cell r="Q146">
            <v>72874.28</v>
          </cell>
          <cell r="R146">
            <v>72879.320000000007</v>
          </cell>
          <cell r="S146">
            <v>76937.59</v>
          </cell>
          <cell r="T146">
            <v>56464.08</v>
          </cell>
          <cell r="U146">
            <v>114055.15</v>
          </cell>
          <cell r="V146">
            <v>139182.43</v>
          </cell>
          <cell r="W146">
            <v>79661.02</v>
          </cell>
          <cell r="X146">
            <v>407401.19</v>
          </cell>
          <cell r="Y146">
            <v>86393.03</v>
          </cell>
          <cell r="Z146">
            <v>88225.52</v>
          </cell>
          <cell r="AA146">
            <v>107563.82</v>
          </cell>
          <cell r="AB146">
            <v>159094.73000000001</v>
          </cell>
          <cell r="AC146">
            <v>161426.23999999999</v>
          </cell>
          <cell r="AD146">
            <v>114707.76</v>
          </cell>
          <cell r="AE146">
            <v>117024.39</v>
          </cell>
          <cell r="AF146">
            <v>96846.36</v>
          </cell>
          <cell r="AG146">
            <v>104568.63</v>
          </cell>
          <cell r="AH146">
            <v>168406.55</v>
          </cell>
          <cell r="AI146">
            <v>171089.8</v>
          </cell>
          <cell r="AJ146">
            <v>155215.38</v>
          </cell>
          <cell r="AK146">
            <v>192431.13</v>
          </cell>
          <cell r="AL146">
            <v>323779.05</v>
          </cell>
          <cell r="AM146">
            <v>332738.05</v>
          </cell>
          <cell r="AN146">
            <v>231630.91</v>
          </cell>
          <cell r="AO146">
            <v>2496568.8199999998</v>
          </cell>
          <cell r="AP146">
            <v>3203374.84</v>
          </cell>
          <cell r="AQ146">
            <v>3451686.52</v>
          </cell>
          <cell r="AR146">
            <v>3357250.16</v>
          </cell>
          <cell r="AS146">
            <v>3112872.17</v>
          </cell>
          <cell r="AT146">
            <v>3171250.12</v>
          </cell>
          <cell r="AU146">
            <v>3153292.53</v>
          </cell>
          <cell r="AV146">
            <v>3158725.57</v>
          </cell>
          <cell r="AW146">
            <v>3509190.18</v>
          </cell>
          <cell r="AX146">
            <v>3482180</v>
          </cell>
          <cell r="AY146">
            <v>3507650.78</v>
          </cell>
          <cell r="AZ146">
            <v>3500798.79</v>
          </cell>
          <cell r="BA146">
            <v>3319911.45</v>
          </cell>
          <cell r="BB146">
            <v>3422684.9</v>
          </cell>
          <cell r="BC146">
            <v>3406331.55</v>
          </cell>
          <cell r="BD146">
            <v>3475003.04</v>
          </cell>
          <cell r="BE146">
            <v>3375539.49</v>
          </cell>
          <cell r="BF146">
            <v>3378075.29</v>
          </cell>
          <cell r="BG146">
            <v>3362549.5</v>
          </cell>
          <cell r="BH146">
            <v>3780094.9</v>
          </cell>
          <cell r="BI146">
            <v>3416070.9</v>
          </cell>
          <cell r="BJ146">
            <v>4589153.0999999996</v>
          </cell>
          <cell r="BK146">
            <v>6514301.7699999996</v>
          </cell>
          <cell r="BL146">
            <v>2851715.49</v>
          </cell>
          <cell r="BM146">
            <v>2833097.98</v>
          </cell>
          <cell r="BN146">
            <v>2817067.62</v>
          </cell>
          <cell r="BO146">
            <v>2867050.06</v>
          </cell>
          <cell r="BP146">
            <v>2823970.11</v>
          </cell>
          <cell r="BQ146">
            <v>2814873.01</v>
          </cell>
          <cell r="BR146">
            <v>2775839.66</v>
          </cell>
          <cell r="BS146">
            <v>2724938.35</v>
          </cell>
          <cell r="BT146">
            <v>2949895.23</v>
          </cell>
          <cell r="BU146">
            <v>3083394.47</v>
          </cell>
          <cell r="BV146">
            <v>3240010.19</v>
          </cell>
          <cell r="BW146">
            <v>3353538.42</v>
          </cell>
          <cell r="BX146">
            <v>2931886.83</v>
          </cell>
          <cell r="BY146">
            <v>2907048.91</v>
          </cell>
          <cell r="BZ146">
            <v>2734373.27</v>
          </cell>
          <cell r="CA146">
            <v>2949762.27</v>
          </cell>
          <cell r="CB146">
            <v>3160667.99</v>
          </cell>
          <cell r="CC146">
            <v>3420032.25</v>
          </cell>
          <cell r="CD146">
            <v>3432738.71</v>
          </cell>
          <cell r="CE146">
            <v>3478460.19</v>
          </cell>
          <cell r="CF146">
            <v>3792145.01</v>
          </cell>
          <cell r="CG146">
            <v>3985290.61</v>
          </cell>
          <cell r="CH146">
            <v>4106831.75</v>
          </cell>
          <cell r="CI146">
            <v>3557241.5</v>
          </cell>
          <cell r="CJ146">
            <v>2179477.52</v>
          </cell>
          <cell r="CK146">
            <v>2158432.2599999998</v>
          </cell>
          <cell r="CL146">
            <v>2143203.17</v>
          </cell>
          <cell r="CM146">
            <v>2133779.17</v>
          </cell>
          <cell r="CN146">
            <v>2122450.15</v>
          </cell>
          <cell r="CO146">
            <v>2109847.25</v>
          </cell>
          <cell r="CP146">
            <v>2094259.45</v>
          </cell>
          <cell r="CQ146">
            <v>2090746.57</v>
          </cell>
          <cell r="CR146">
            <v>2072893.07</v>
          </cell>
          <cell r="CS146">
            <v>2054800.49</v>
          </cell>
          <cell r="CT146">
            <v>2131639.9900000002</v>
          </cell>
          <cell r="CU146">
            <v>2086418.59</v>
          </cell>
          <cell r="CV146">
            <v>2430458.84</v>
          </cell>
          <cell r="CW146">
            <v>2350671.0499999998</v>
          </cell>
          <cell r="CX146">
            <v>2243017.08</v>
          </cell>
          <cell r="CY146">
            <v>2033767.6</v>
          </cell>
          <cell r="CZ146">
            <v>2230215.6800000002</v>
          </cell>
          <cell r="DA146">
            <v>2276130.5299999998</v>
          </cell>
          <cell r="DB146">
            <v>2307199.44</v>
          </cell>
          <cell r="DC146">
            <v>2270832.98</v>
          </cell>
          <cell r="DD146">
            <v>2303483.7200000002</v>
          </cell>
          <cell r="DE146">
            <v>2319403.23</v>
          </cell>
          <cell r="DF146">
            <v>2373901.8199999998</v>
          </cell>
          <cell r="DG146">
            <v>2388780.33</v>
          </cell>
          <cell r="DH146">
            <v>2868151.19</v>
          </cell>
        </row>
        <row r="147">
          <cell r="A147" t="str">
            <v>1890200</v>
          </cell>
          <cell r="B147" t="str">
            <v>1890200</v>
          </cell>
          <cell r="C147" t="str">
            <v>U/A Loss ReaqDebt LT</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row>
        <row r="148">
          <cell r="A148" t="str">
            <v>1900300</v>
          </cell>
          <cell r="B148" t="str">
            <v>1900300</v>
          </cell>
          <cell r="C148" t="str">
            <v>DTA Federal</v>
          </cell>
          <cell r="D148">
            <v>21628001.879999999</v>
          </cell>
          <cell r="E148">
            <v>21257218.539999999</v>
          </cell>
          <cell r="F148">
            <v>21078413.539999999</v>
          </cell>
          <cell r="G148">
            <v>21506647.09</v>
          </cell>
          <cell r="H148">
            <v>21627617.16</v>
          </cell>
          <cell r="I148">
            <v>21756798.170000002</v>
          </cell>
          <cell r="J148">
            <v>21684736.66</v>
          </cell>
          <cell r="K148">
            <v>21598264.09</v>
          </cell>
          <cell r="L148">
            <v>21307278.170000002</v>
          </cell>
          <cell r="M148">
            <v>21850043.800000001</v>
          </cell>
          <cell r="N148">
            <v>22200630.010000002</v>
          </cell>
          <cell r="O148">
            <v>20151378.109999999</v>
          </cell>
          <cell r="P148">
            <v>20385210.100000001</v>
          </cell>
          <cell r="Q148">
            <v>20788723.390000001</v>
          </cell>
          <cell r="R148">
            <v>20106538.640000001</v>
          </cell>
          <cell r="S148">
            <v>20561585.879999999</v>
          </cell>
          <cell r="T148">
            <v>20849182.739999998</v>
          </cell>
          <cell r="U148">
            <v>20841028.949999999</v>
          </cell>
          <cell r="V148">
            <v>20797679.09</v>
          </cell>
          <cell r="W148">
            <v>20825804.210000001</v>
          </cell>
          <cell r="X148">
            <v>20862305.91</v>
          </cell>
          <cell r="Y148">
            <v>20856989.66</v>
          </cell>
          <cell r="Z148">
            <v>20873795.5</v>
          </cell>
          <cell r="AA148">
            <v>21019758.379999999</v>
          </cell>
          <cell r="AB148">
            <v>21158352.989999998</v>
          </cell>
          <cell r="AC148">
            <v>21417772.989999998</v>
          </cell>
          <cell r="AD148">
            <v>21071637.719999999</v>
          </cell>
          <cell r="AE148">
            <v>21388524.829999998</v>
          </cell>
          <cell r="AF148">
            <v>21532902.850000001</v>
          </cell>
          <cell r="AG148">
            <v>21621250.199999999</v>
          </cell>
          <cell r="AH148">
            <v>21618534.699999999</v>
          </cell>
          <cell r="AI148">
            <v>21727442.100000001</v>
          </cell>
          <cell r="AJ148">
            <v>21869034.66</v>
          </cell>
          <cell r="AK148">
            <v>22072339.899999999</v>
          </cell>
          <cell r="AL148">
            <v>22031045.390000001</v>
          </cell>
          <cell r="AM148">
            <v>21862518.829999998</v>
          </cell>
          <cell r="AN148">
            <v>27089342.120000001</v>
          </cell>
          <cell r="AO148">
            <v>27867573.079999998</v>
          </cell>
          <cell r="AP148">
            <v>27024912.350000001</v>
          </cell>
          <cell r="AQ148">
            <v>27485652</v>
          </cell>
          <cell r="AR148">
            <v>27752437.969999999</v>
          </cell>
          <cell r="AS148">
            <v>27906920.309999999</v>
          </cell>
          <cell r="AT148">
            <v>28134592.719999999</v>
          </cell>
          <cell r="AU148">
            <v>28295488.719999999</v>
          </cell>
          <cell r="AV148">
            <v>28284701.059999999</v>
          </cell>
          <cell r="AW148">
            <v>28880199.940000001</v>
          </cell>
          <cell r="AX148">
            <v>28810048.719999999</v>
          </cell>
          <cell r="AY148">
            <v>28935820.190000001</v>
          </cell>
          <cell r="AZ148">
            <v>28470878.440000001</v>
          </cell>
          <cell r="BA148">
            <v>28952719.100000001</v>
          </cell>
          <cell r="BB148">
            <v>28723646.800000001</v>
          </cell>
          <cell r="BC148">
            <v>29590823.870000001</v>
          </cell>
          <cell r="BD148">
            <v>29837500.84</v>
          </cell>
          <cell r="BE148">
            <v>30042629.73</v>
          </cell>
          <cell r="BF148">
            <v>30184002.920000002</v>
          </cell>
          <cell r="BG148">
            <v>30238523.23</v>
          </cell>
          <cell r="BH148">
            <v>30268817.02</v>
          </cell>
          <cell r="BI148">
            <v>31645217.93</v>
          </cell>
          <cell r="BJ148">
            <v>31701980.02</v>
          </cell>
          <cell r="BK148">
            <v>31735623.52</v>
          </cell>
          <cell r="BL148">
            <v>31216129.710000001</v>
          </cell>
          <cell r="BM148">
            <v>31397899.620000001</v>
          </cell>
          <cell r="BN148">
            <v>30783785.710000001</v>
          </cell>
          <cell r="BO148">
            <v>31277440.899999999</v>
          </cell>
          <cell r="BP148">
            <v>31372037.969999999</v>
          </cell>
          <cell r="BQ148">
            <v>31401284.469999999</v>
          </cell>
          <cell r="BR148">
            <v>31505541.859999999</v>
          </cell>
          <cell r="BS148">
            <v>31733914.780000001</v>
          </cell>
          <cell r="BT148">
            <v>31809459.34</v>
          </cell>
          <cell r="BU148">
            <v>31797211.850000001</v>
          </cell>
          <cell r="BV148">
            <v>31896964.190000001</v>
          </cell>
          <cell r="BW148">
            <v>32129934.199999999</v>
          </cell>
          <cell r="BX148">
            <v>32387504.850000001</v>
          </cell>
          <cell r="BY148">
            <v>32844580.809999999</v>
          </cell>
          <cell r="BZ148">
            <v>32082072.780000001</v>
          </cell>
          <cell r="CA148">
            <v>32342112.609999999</v>
          </cell>
          <cell r="CB148">
            <v>32546323.899999999</v>
          </cell>
          <cell r="CC148">
            <v>32657507.210000001</v>
          </cell>
          <cell r="CD148">
            <v>33002745.93</v>
          </cell>
          <cell r="CE148">
            <v>33075814.050000001</v>
          </cell>
          <cell r="CF148">
            <v>33030982.460000001</v>
          </cell>
          <cell r="CG148">
            <v>33295588.210000001</v>
          </cell>
          <cell r="CH148">
            <v>33349655.199999999</v>
          </cell>
          <cell r="CI148">
            <v>33167719.989999998</v>
          </cell>
          <cell r="CJ148">
            <v>33742293.310000002</v>
          </cell>
          <cell r="CK148">
            <v>34280918.25</v>
          </cell>
          <cell r="CL148">
            <v>34559950.119999997</v>
          </cell>
          <cell r="CM148">
            <v>33215260.219999999</v>
          </cell>
          <cell r="CN148">
            <v>33568588.909999996</v>
          </cell>
          <cell r="CO148">
            <v>33524413.370000001</v>
          </cell>
          <cell r="CP148">
            <v>33843798.890000001</v>
          </cell>
          <cell r="CQ148">
            <v>33936106.479999997</v>
          </cell>
          <cell r="CR148">
            <v>34166557.579999998</v>
          </cell>
          <cell r="CS148">
            <v>34873747.079999998</v>
          </cell>
          <cell r="CT148">
            <v>34335105.240000002</v>
          </cell>
          <cell r="CU148">
            <v>34918379.270000003</v>
          </cell>
          <cell r="CV148">
            <v>35600459.32</v>
          </cell>
          <cell r="CW148">
            <v>35881802.390000001</v>
          </cell>
          <cell r="CX148">
            <v>36844661.390000001</v>
          </cell>
          <cell r="CY148">
            <v>35487940.329999998</v>
          </cell>
          <cell r="CZ148">
            <v>35758852.829999998</v>
          </cell>
          <cell r="DA148">
            <v>35947949.990000002</v>
          </cell>
          <cell r="DB148">
            <v>36314997.060000002</v>
          </cell>
          <cell r="DC148">
            <v>36320926.039999999</v>
          </cell>
          <cell r="DD148">
            <v>36071781.369999997</v>
          </cell>
          <cell r="DE148">
            <v>36595431.780000001</v>
          </cell>
          <cell r="DF148">
            <v>36721530.299999997</v>
          </cell>
          <cell r="DG148">
            <v>37032822.859999999</v>
          </cell>
          <cell r="DH148">
            <v>36962691.409999996</v>
          </cell>
        </row>
        <row r="149">
          <cell r="A149" t="str">
            <v>1900303</v>
          </cell>
          <cell r="B149" t="str">
            <v>1900303</v>
          </cell>
          <cell r="C149" t="str">
            <v>DTA Sep Co Fed</v>
          </cell>
          <cell r="AL149">
            <v>0</v>
          </cell>
          <cell r="AM149">
            <v>0</v>
          </cell>
          <cell r="AN149">
            <v>2950480.06</v>
          </cell>
          <cell r="AO149">
            <v>2950480.06</v>
          </cell>
          <cell r="AP149">
            <v>2950480.06</v>
          </cell>
          <cell r="AQ149">
            <v>2950480.06</v>
          </cell>
          <cell r="AR149">
            <v>2950480.06</v>
          </cell>
          <cell r="AS149">
            <v>2950480.06</v>
          </cell>
          <cell r="AT149">
            <v>2950480.06</v>
          </cell>
          <cell r="AU149">
            <v>2950480.06</v>
          </cell>
          <cell r="AV149">
            <v>2950480.06</v>
          </cell>
          <cell r="AW149">
            <v>4432944.58</v>
          </cell>
          <cell r="AX149">
            <v>4432944.58</v>
          </cell>
          <cell r="AY149">
            <v>4432944.58</v>
          </cell>
          <cell r="AZ149">
            <v>3236134.48</v>
          </cell>
          <cell r="BA149">
            <v>3236134.48</v>
          </cell>
          <cell r="BB149">
            <v>3236134.48</v>
          </cell>
          <cell r="BC149">
            <v>3236134.48</v>
          </cell>
          <cell r="BD149">
            <v>3236134.48</v>
          </cell>
          <cell r="BE149">
            <v>3236134.48</v>
          </cell>
          <cell r="BF149">
            <v>3236134.48</v>
          </cell>
          <cell r="BG149">
            <v>3236134.48</v>
          </cell>
          <cell r="BH149">
            <v>3236134.48</v>
          </cell>
          <cell r="BI149">
            <v>3236134.48</v>
          </cell>
          <cell r="BJ149">
            <v>3236134.48</v>
          </cell>
          <cell r="BK149">
            <v>3685535.11</v>
          </cell>
          <cell r="BL149">
            <v>3685535.11</v>
          </cell>
          <cell r="BM149">
            <v>3685535.11</v>
          </cell>
          <cell r="BN149">
            <v>3685535.11</v>
          </cell>
          <cell r="BO149">
            <v>3685535.11</v>
          </cell>
          <cell r="BP149">
            <v>3685535.11</v>
          </cell>
          <cell r="BQ149">
            <v>3685535.11</v>
          </cell>
          <cell r="BR149">
            <v>3685535.11</v>
          </cell>
          <cell r="BS149">
            <v>3685535.11</v>
          </cell>
          <cell r="BT149">
            <v>3685535.11</v>
          </cell>
          <cell r="BU149">
            <v>3685535.11</v>
          </cell>
          <cell r="BV149">
            <v>3685535.11</v>
          </cell>
          <cell r="BW149">
            <v>3685535.11</v>
          </cell>
          <cell r="BX149">
            <v>3685535.11</v>
          </cell>
          <cell r="BY149">
            <v>3685535.11</v>
          </cell>
          <cell r="BZ149">
            <v>3685535.11</v>
          </cell>
          <cell r="CA149">
            <v>3685535.11</v>
          </cell>
          <cell r="CB149">
            <v>3685535.11</v>
          </cell>
          <cell r="CC149">
            <v>3685535.11</v>
          </cell>
          <cell r="CD149">
            <v>3685535.11</v>
          </cell>
          <cell r="CE149">
            <v>3685535.11</v>
          </cell>
          <cell r="CF149">
            <v>3685535.11</v>
          </cell>
          <cell r="CG149">
            <v>3685535.11</v>
          </cell>
          <cell r="CH149">
            <v>3685535.11</v>
          </cell>
          <cell r="CI149">
            <v>3685535.11</v>
          </cell>
          <cell r="CJ149">
            <v>3685535.11</v>
          </cell>
          <cell r="CK149">
            <v>3685535.11</v>
          </cell>
          <cell r="CL149">
            <v>3685535.11</v>
          </cell>
          <cell r="CM149">
            <v>3685535.11</v>
          </cell>
          <cell r="CN149">
            <v>3685535.11</v>
          </cell>
          <cell r="CO149">
            <v>3685535.11</v>
          </cell>
          <cell r="CP149">
            <v>3685535.11</v>
          </cell>
          <cell r="CQ149">
            <v>3685535.11</v>
          </cell>
          <cell r="CR149">
            <v>3685535.11</v>
          </cell>
          <cell r="CS149">
            <v>3685535.11</v>
          </cell>
          <cell r="CT149">
            <v>3685535.11</v>
          </cell>
          <cell r="CU149">
            <v>3685535.11</v>
          </cell>
          <cell r="CV149">
            <v>3685535.11</v>
          </cell>
          <cell r="CW149">
            <v>3685535.11</v>
          </cell>
          <cell r="CX149">
            <v>3685535.11</v>
          </cell>
          <cell r="CY149">
            <v>3685535.11</v>
          </cell>
          <cell r="CZ149">
            <v>3685535.11</v>
          </cell>
          <cell r="DA149">
            <v>3685535.11</v>
          </cell>
          <cell r="DB149">
            <v>3685535.11</v>
          </cell>
          <cell r="DC149">
            <v>3685535.11</v>
          </cell>
          <cell r="DD149">
            <v>3685535.11</v>
          </cell>
          <cell r="DE149">
            <v>3685535.11</v>
          </cell>
          <cell r="DF149">
            <v>3685535.11</v>
          </cell>
          <cell r="DG149">
            <v>3685535.11</v>
          </cell>
          <cell r="DH149">
            <v>3685535.11</v>
          </cell>
        </row>
        <row r="150">
          <cell r="A150" t="str">
            <v>1900305</v>
          </cell>
          <cell r="B150" t="str">
            <v>1900305</v>
          </cell>
          <cell r="C150" t="str">
            <v>DTA Fed NonUtility</v>
          </cell>
          <cell r="AL150">
            <v>0</v>
          </cell>
          <cell r="AM150">
            <v>0</v>
          </cell>
          <cell r="AN150">
            <v>6.32</v>
          </cell>
          <cell r="AO150">
            <v>6.32</v>
          </cell>
          <cell r="AP150">
            <v>6.32</v>
          </cell>
          <cell r="AQ150">
            <v>0</v>
          </cell>
          <cell r="AR150">
            <v>0</v>
          </cell>
          <cell r="AS150">
            <v>0</v>
          </cell>
          <cell r="AT150">
            <v>0</v>
          </cell>
          <cell r="AU150">
            <v>0</v>
          </cell>
          <cell r="AV150">
            <v>0</v>
          </cell>
          <cell r="AW150">
            <v>0</v>
          </cell>
          <cell r="AX150">
            <v>-18.8</v>
          </cell>
          <cell r="AY150">
            <v>0</v>
          </cell>
          <cell r="AZ150">
            <v>0</v>
          </cell>
          <cell r="BA150">
            <v>0</v>
          </cell>
          <cell r="BB150">
            <v>0</v>
          </cell>
          <cell r="BC150">
            <v>0</v>
          </cell>
          <cell r="BD150">
            <v>0</v>
          </cell>
          <cell r="BE150">
            <v>0</v>
          </cell>
          <cell r="BF150">
            <v>-20.91</v>
          </cell>
          <cell r="BG150">
            <v>-330.9</v>
          </cell>
          <cell r="BH150">
            <v>-261.52</v>
          </cell>
          <cell r="BI150">
            <v>-600.67999999999995</v>
          </cell>
          <cell r="BJ150">
            <v>-118.65</v>
          </cell>
          <cell r="BK150">
            <v>183.13</v>
          </cell>
          <cell r="BL150">
            <v>768.35</v>
          </cell>
          <cell r="BM150">
            <v>-37.83</v>
          </cell>
          <cell r="BN150">
            <v>40.53</v>
          </cell>
          <cell r="BO150">
            <v>40.53</v>
          </cell>
          <cell r="BP150">
            <v>1251.22</v>
          </cell>
          <cell r="BQ150">
            <v>1728.23</v>
          </cell>
          <cell r="BR150">
            <v>302.68</v>
          </cell>
          <cell r="BS150">
            <v>-890.09</v>
          </cell>
          <cell r="BT150">
            <v>-4.95</v>
          </cell>
          <cell r="BU150">
            <v>9.93</v>
          </cell>
          <cell r="BV150">
            <v>49.28</v>
          </cell>
          <cell r="BW150">
            <v>-33.06</v>
          </cell>
          <cell r="BX150">
            <v>-47.55</v>
          </cell>
          <cell r="BY150">
            <v>-47.55</v>
          </cell>
          <cell r="BZ150">
            <v>-47.55</v>
          </cell>
          <cell r="CA150">
            <v>-47.55</v>
          </cell>
          <cell r="CB150">
            <v>-47.55</v>
          </cell>
          <cell r="CC150">
            <v>-47.55</v>
          </cell>
          <cell r="CD150">
            <v>-47.55</v>
          </cell>
          <cell r="CE150">
            <v>-47.55</v>
          </cell>
          <cell r="CF150">
            <v>-47.55</v>
          </cell>
          <cell r="CG150">
            <v>-47.55</v>
          </cell>
          <cell r="CH150">
            <v>-47.55</v>
          </cell>
          <cell r="CI150">
            <v>-47.55</v>
          </cell>
          <cell r="CJ150">
            <v>-47.55</v>
          </cell>
          <cell r="CK150">
            <v>-47.55</v>
          </cell>
          <cell r="CL150">
            <v>-47.55</v>
          </cell>
          <cell r="CM150">
            <v>-47.55</v>
          </cell>
          <cell r="CN150">
            <v>-47.55</v>
          </cell>
          <cell r="CO150">
            <v>-47.55</v>
          </cell>
          <cell r="CP150">
            <v>-47.55</v>
          </cell>
          <cell r="CQ150">
            <v>-47.55</v>
          </cell>
          <cell r="CR150">
            <v>-47.55</v>
          </cell>
          <cell r="CS150">
            <v>-47.55</v>
          </cell>
          <cell r="CT150">
            <v>-47.55</v>
          </cell>
          <cell r="CU150">
            <v>-47.55</v>
          </cell>
          <cell r="CV150">
            <v>-47.55</v>
          </cell>
          <cell r="CW150">
            <v>-47.55</v>
          </cell>
          <cell r="CX150">
            <v>-47.55</v>
          </cell>
          <cell r="CY150">
            <v>-47.55</v>
          </cell>
          <cell r="CZ150">
            <v>-47.55</v>
          </cell>
          <cell r="DA150">
            <v>-47.55</v>
          </cell>
          <cell r="DB150">
            <v>-47.55</v>
          </cell>
          <cell r="DC150">
            <v>-47.55</v>
          </cell>
          <cell r="DD150">
            <v>-47.55</v>
          </cell>
          <cell r="DE150">
            <v>-47.55</v>
          </cell>
          <cell r="DF150">
            <v>-47.55</v>
          </cell>
          <cell r="DG150">
            <v>-47.55</v>
          </cell>
          <cell r="DH150">
            <v>-47.55</v>
          </cell>
        </row>
        <row r="151">
          <cell r="A151" t="str">
            <v>1900306</v>
          </cell>
          <cell r="B151" t="str">
            <v>1900306</v>
          </cell>
          <cell r="C151" t="str">
            <v>Defd FIT FAS133</v>
          </cell>
          <cell r="D151">
            <v>387252.06</v>
          </cell>
          <cell r="E151">
            <v>1184508.3999999999</v>
          </cell>
          <cell r="F151">
            <v>827106.56</v>
          </cell>
          <cell r="G151">
            <v>503909.24</v>
          </cell>
          <cell r="H151">
            <v>1022346.63</v>
          </cell>
          <cell r="I151">
            <v>419490.27</v>
          </cell>
          <cell r="J151">
            <v>286229.44</v>
          </cell>
          <cell r="K151">
            <v>1074482.76</v>
          </cell>
          <cell r="L151">
            <v>506303.87</v>
          </cell>
          <cell r="M151">
            <v>535103.92000000004</v>
          </cell>
          <cell r="N151">
            <v>1210181.22</v>
          </cell>
          <cell r="O151">
            <v>894056.98</v>
          </cell>
          <cell r="P151">
            <v>2971950.86</v>
          </cell>
          <cell r="Q151">
            <v>2998230.6</v>
          </cell>
          <cell r="R151">
            <v>2456701.89</v>
          </cell>
          <cell r="S151">
            <v>2388688.12</v>
          </cell>
          <cell r="T151">
            <v>2081246.07</v>
          </cell>
          <cell r="U151">
            <v>2086352.85</v>
          </cell>
          <cell r="V151">
            <v>1718145.41</v>
          </cell>
          <cell r="W151">
            <v>1726000.72</v>
          </cell>
          <cell r="X151">
            <v>1835551.73</v>
          </cell>
          <cell r="Y151">
            <v>2094429.76</v>
          </cell>
          <cell r="Z151">
            <v>2660564.62</v>
          </cell>
          <cell r="AA151">
            <v>2667675.7400000002</v>
          </cell>
          <cell r="AB151">
            <v>2098924.66</v>
          </cell>
          <cell r="AC151">
            <v>1615930.43</v>
          </cell>
          <cell r="AD151">
            <v>1796318.17</v>
          </cell>
          <cell r="AE151">
            <v>1142853.74</v>
          </cell>
          <cell r="AF151">
            <v>670785.84</v>
          </cell>
          <cell r="AG151">
            <v>584534.52</v>
          </cell>
          <cell r="AH151">
            <v>232265.92</v>
          </cell>
          <cell r="AI151">
            <v>227132.68</v>
          </cell>
          <cell r="AJ151">
            <v>173660.33</v>
          </cell>
          <cell r="AK151">
            <v>172836.76</v>
          </cell>
          <cell r="AL151">
            <v>185855.08</v>
          </cell>
          <cell r="AM151">
            <v>201403.64</v>
          </cell>
          <cell r="AN151">
            <v>657941.17000000004</v>
          </cell>
          <cell r="AO151">
            <v>195622.13</v>
          </cell>
          <cell r="AP151">
            <v>139252.41</v>
          </cell>
          <cell r="AQ151">
            <v>161113.32999999999</v>
          </cell>
          <cell r="AR151">
            <v>178223.02</v>
          </cell>
          <cell r="AS151">
            <v>57366.97</v>
          </cell>
          <cell r="AT151">
            <v>36566.1</v>
          </cell>
          <cell r="AU151">
            <v>49108.14</v>
          </cell>
          <cell r="AV151">
            <v>35018.199999999997</v>
          </cell>
          <cell r="AW151">
            <v>29428.52</v>
          </cell>
          <cell r="AX151">
            <v>47305.56</v>
          </cell>
          <cell r="AY151">
            <v>22419.93</v>
          </cell>
          <cell r="AZ151">
            <v>299108.84000000003</v>
          </cell>
          <cell r="BA151">
            <v>278987.99</v>
          </cell>
          <cell r="BB151">
            <v>285626.15000000002</v>
          </cell>
          <cell r="BC151">
            <v>269654.89</v>
          </cell>
          <cell r="BD151">
            <v>268679.51</v>
          </cell>
          <cell r="BE151">
            <v>267149.46000000002</v>
          </cell>
          <cell r="BF151">
            <v>266274.3</v>
          </cell>
          <cell r="BG151">
            <v>265502.32</v>
          </cell>
          <cell r="BH151">
            <v>263871.07</v>
          </cell>
          <cell r="BI151">
            <v>265168.93</v>
          </cell>
          <cell r="BJ151">
            <v>266083.78000000003</v>
          </cell>
          <cell r="BK151">
            <v>263176.49</v>
          </cell>
          <cell r="BL151">
            <v>263176.49</v>
          </cell>
          <cell r="BM151">
            <v>263176.49</v>
          </cell>
          <cell r="BN151">
            <v>263176.49</v>
          </cell>
          <cell r="BO151">
            <v>263176.49</v>
          </cell>
          <cell r="BP151">
            <v>263176.49</v>
          </cell>
          <cell r="BQ151">
            <v>263176.49</v>
          </cell>
          <cell r="BR151">
            <v>263176.49</v>
          </cell>
          <cell r="BS151">
            <v>263176.49</v>
          </cell>
          <cell r="BT151">
            <v>263176.49</v>
          </cell>
          <cell r="BU151">
            <v>263176.49</v>
          </cell>
          <cell r="BV151">
            <v>263176.49</v>
          </cell>
          <cell r="BW151">
            <v>263176.49</v>
          </cell>
          <cell r="BX151">
            <v>263176.49</v>
          </cell>
          <cell r="BY151">
            <v>263176.49</v>
          </cell>
          <cell r="BZ151">
            <v>263176.49</v>
          </cell>
          <cell r="CA151">
            <v>263176.49</v>
          </cell>
          <cell r="CB151">
            <v>263176.49</v>
          </cell>
          <cell r="CC151">
            <v>263176.49</v>
          </cell>
          <cell r="CD151">
            <v>263176.49</v>
          </cell>
          <cell r="CE151">
            <v>263176.49</v>
          </cell>
          <cell r="CF151">
            <v>263176.49</v>
          </cell>
          <cell r="CG151">
            <v>263176.49</v>
          </cell>
          <cell r="CH151">
            <v>263176.49</v>
          </cell>
          <cell r="CI151">
            <v>263176.49</v>
          </cell>
          <cell r="CJ151">
            <v>263176.49</v>
          </cell>
          <cell r="CK151">
            <v>263176.49</v>
          </cell>
          <cell r="CL151">
            <v>263176.49</v>
          </cell>
          <cell r="CM151">
            <v>263176.49</v>
          </cell>
          <cell r="CN151">
            <v>263176.49</v>
          </cell>
          <cell r="CO151">
            <v>263176.49</v>
          </cell>
          <cell r="CP151">
            <v>263176.49</v>
          </cell>
          <cell r="CQ151">
            <v>263176.49</v>
          </cell>
          <cell r="CR151">
            <v>263176.49</v>
          </cell>
          <cell r="CS151">
            <v>263176.49</v>
          </cell>
          <cell r="CT151">
            <v>263176.49</v>
          </cell>
          <cell r="CU151">
            <v>263176.49</v>
          </cell>
          <cell r="CV151">
            <v>263176.49</v>
          </cell>
          <cell r="CW151">
            <v>263176.49</v>
          </cell>
          <cell r="CX151">
            <v>263176.49</v>
          </cell>
          <cell r="CY151">
            <v>263176.49</v>
          </cell>
          <cell r="CZ151">
            <v>263176.49</v>
          </cell>
          <cell r="DA151">
            <v>263176.49</v>
          </cell>
          <cell r="DB151">
            <v>263176.49</v>
          </cell>
          <cell r="DC151">
            <v>263176.49</v>
          </cell>
          <cell r="DD151">
            <v>263176.49</v>
          </cell>
          <cell r="DE151">
            <v>263176.49</v>
          </cell>
          <cell r="DF151">
            <v>263176.49</v>
          </cell>
          <cell r="DG151">
            <v>263176.49</v>
          </cell>
          <cell r="DH151">
            <v>263176.49</v>
          </cell>
        </row>
        <row r="152">
          <cell r="A152" t="str">
            <v>1900307</v>
          </cell>
          <cell r="B152" t="str">
            <v>1900307</v>
          </cell>
          <cell r="C152" t="str">
            <v>Defd FIT FAS133 Int</v>
          </cell>
          <cell r="D152">
            <v>985034.78</v>
          </cell>
          <cell r="E152">
            <v>972968.37</v>
          </cell>
          <cell r="F152">
            <v>960901.97</v>
          </cell>
          <cell r="G152">
            <v>948835.56</v>
          </cell>
          <cell r="H152">
            <v>935980.75</v>
          </cell>
          <cell r="I152">
            <v>928123.12</v>
          </cell>
          <cell r="J152">
            <v>916047.19</v>
          </cell>
          <cell r="K152">
            <v>903971.27</v>
          </cell>
          <cell r="L152">
            <v>891895.35</v>
          </cell>
          <cell r="M152">
            <v>879819.43</v>
          </cell>
          <cell r="N152">
            <v>867743.51</v>
          </cell>
          <cell r="O152">
            <v>855667.58</v>
          </cell>
          <cell r="P152">
            <v>843591.66</v>
          </cell>
          <cell r="Q152">
            <v>831515.75</v>
          </cell>
          <cell r="R152">
            <v>819439.83</v>
          </cell>
          <cell r="S152">
            <v>798260.36</v>
          </cell>
          <cell r="T152">
            <v>733177.13</v>
          </cell>
          <cell r="U152">
            <v>668428.57999999996</v>
          </cell>
          <cell r="V152">
            <v>656671.51</v>
          </cell>
          <cell r="W152">
            <v>644914.43000000005</v>
          </cell>
          <cell r="X152">
            <v>633157.35</v>
          </cell>
          <cell r="Y152">
            <v>621400.27</v>
          </cell>
          <cell r="Z152">
            <v>609643.18999999994</v>
          </cell>
          <cell r="AA152">
            <v>597886.12</v>
          </cell>
          <cell r="AB152">
            <v>586129.04</v>
          </cell>
          <cell r="AC152">
            <v>574371.97</v>
          </cell>
          <cell r="AD152">
            <v>562614.88</v>
          </cell>
          <cell r="AE152">
            <v>550857.81000000006</v>
          </cell>
          <cell r="AF152">
            <v>539100.73</v>
          </cell>
          <cell r="AG152">
            <v>527343.65</v>
          </cell>
          <cell r="AH152">
            <v>515586.58</v>
          </cell>
          <cell r="AI152">
            <v>503829.49</v>
          </cell>
          <cell r="AJ152">
            <v>492072.42</v>
          </cell>
          <cell r="AK152">
            <v>480315.34</v>
          </cell>
          <cell r="AL152">
            <v>468558.27</v>
          </cell>
          <cell r="AM152">
            <v>456801.19</v>
          </cell>
          <cell r="AN152">
            <v>445044.1</v>
          </cell>
          <cell r="AO152">
            <v>433287.03</v>
          </cell>
          <cell r="AP152">
            <v>421529.95</v>
          </cell>
          <cell r="AQ152">
            <v>409772.88</v>
          </cell>
          <cell r="AR152">
            <v>398015.8</v>
          </cell>
          <cell r="AS152">
            <v>386258.72</v>
          </cell>
          <cell r="AT152">
            <v>374501.64</v>
          </cell>
          <cell r="AU152">
            <v>362744.57</v>
          </cell>
          <cell r="AV152">
            <v>350987.49</v>
          </cell>
          <cell r="AW152">
            <v>339230.41</v>
          </cell>
          <cell r="AX152">
            <v>327473.33</v>
          </cell>
          <cell r="AY152">
            <v>315716.25</v>
          </cell>
          <cell r="AZ152">
            <v>360393.15</v>
          </cell>
          <cell r="BA152">
            <v>353338.9</v>
          </cell>
          <cell r="BB152">
            <v>346284.66</v>
          </cell>
          <cell r="BC152">
            <v>339230.41</v>
          </cell>
          <cell r="BD152">
            <v>332176.17</v>
          </cell>
          <cell r="BE152">
            <v>328376.3</v>
          </cell>
          <cell r="BF152">
            <v>327830.77</v>
          </cell>
          <cell r="BG152">
            <v>327285.24</v>
          </cell>
          <cell r="BH152">
            <v>326739.73</v>
          </cell>
          <cell r="BI152">
            <v>326194.2</v>
          </cell>
          <cell r="BJ152">
            <v>325648.67</v>
          </cell>
          <cell r="BK152">
            <v>325103.14</v>
          </cell>
          <cell r="BL152">
            <v>324557.62</v>
          </cell>
          <cell r="BM152">
            <v>324012.09000000003</v>
          </cell>
          <cell r="BN152">
            <v>323466.57</v>
          </cell>
          <cell r="BO152">
            <v>322921.03999999998</v>
          </cell>
          <cell r="BP152">
            <v>322375.51</v>
          </cell>
          <cell r="BQ152">
            <v>321829.98</v>
          </cell>
          <cell r="BR152">
            <v>321284.46000000002</v>
          </cell>
          <cell r="BS152">
            <v>320738.93</v>
          </cell>
          <cell r="BT152">
            <v>320193.40000000002</v>
          </cell>
          <cell r="BU152">
            <v>319647.87</v>
          </cell>
          <cell r="BV152">
            <v>319102.34999999998</v>
          </cell>
          <cell r="BW152">
            <v>318556.82</v>
          </cell>
          <cell r="BX152">
            <v>318011.28999999998</v>
          </cell>
          <cell r="BY152">
            <v>317465.76</v>
          </cell>
          <cell r="BZ152">
            <v>316920.24</v>
          </cell>
          <cell r="CA152">
            <v>316374.71000000002</v>
          </cell>
          <cell r="CB152">
            <v>315829.18</v>
          </cell>
          <cell r="CC152">
            <v>315283.65000000002</v>
          </cell>
          <cell r="CD152">
            <v>314738.13</v>
          </cell>
          <cell r="CE152">
            <v>314192.59999999998</v>
          </cell>
          <cell r="CF152">
            <v>313647.07</v>
          </cell>
          <cell r="CG152">
            <v>313101.53999999998</v>
          </cell>
          <cell r="CH152">
            <v>312556.02</v>
          </cell>
          <cell r="CI152">
            <v>312010.49</v>
          </cell>
          <cell r="CJ152">
            <v>311464.96000000002</v>
          </cell>
          <cell r="CK152">
            <v>310919.43</v>
          </cell>
          <cell r="CL152">
            <v>310373.90999999997</v>
          </cell>
          <cell r="CM152">
            <v>309828.38</v>
          </cell>
          <cell r="CN152">
            <v>309282.84999999998</v>
          </cell>
          <cell r="CO152">
            <v>308737.32</v>
          </cell>
          <cell r="CP152">
            <v>308191.8</v>
          </cell>
          <cell r="CQ152">
            <v>307646.27</v>
          </cell>
          <cell r="CR152">
            <v>307100.74</v>
          </cell>
          <cell r="CS152">
            <v>306555.21000000002</v>
          </cell>
          <cell r="CT152">
            <v>306009.69</v>
          </cell>
          <cell r="CU152">
            <v>305464.15999999997</v>
          </cell>
          <cell r="CV152">
            <v>304918.63</v>
          </cell>
          <cell r="CW152">
            <v>304373.09999999998</v>
          </cell>
          <cell r="CX152">
            <v>303827.58</v>
          </cell>
          <cell r="CY152">
            <v>303282.05</v>
          </cell>
          <cell r="CZ152">
            <v>302736.52</v>
          </cell>
          <cell r="DA152">
            <v>302190.99</v>
          </cell>
          <cell r="DB152">
            <v>301645.46999999997</v>
          </cell>
          <cell r="DC152">
            <v>301099.94</v>
          </cell>
          <cell r="DD152">
            <v>300554.40999999997</v>
          </cell>
          <cell r="DE152">
            <v>300008.88</v>
          </cell>
          <cell r="DF152">
            <v>299463.36</v>
          </cell>
          <cell r="DG152">
            <v>298917.83</v>
          </cell>
          <cell r="DH152">
            <v>298372.3</v>
          </cell>
        </row>
        <row r="153">
          <cell r="A153" t="str">
            <v>1900308</v>
          </cell>
          <cell r="B153" t="str">
            <v>1900308</v>
          </cell>
          <cell r="C153" t="str">
            <v>Defd FIT FAS158</v>
          </cell>
          <cell r="D153">
            <v>5715079.0599999996</v>
          </cell>
          <cell r="E153">
            <v>5715079.0599999996</v>
          </cell>
          <cell r="F153">
            <v>5715079.0599999996</v>
          </cell>
          <cell r="G153">
            <v>5589363.6399999997</v>
          </cell>
          <cell r="H153">
            <v>5589363.6399999997</v>
          </cell>
          <cell r="I153">
            <v>5589363.6399999997</v>
          </cell>
          <cell r="J153">
            <v>5459970.9199999999</v>
          </cell>
          <cell r="K153">
            <v>5459970.9199999999</v>
          </cell>
          <cell r="L153">
            <v>5459970.9199999999</v>
          </cell>
          <cell r="M153">
            <v>5391773.9100000001</v>
          </cell>
          <cell r="N153">
            <v>5391773.9100000001</v>
          </cell>
          <cell r="O153">
            <v>5391773.9100000001</v>
          </cell>
          <cell r="P153">
            <v>6394086.6500000004</v>
          </cell>
          <cell r="Q153">
            <v>6394086.6500000004</v>
          </cell>
          <cell r="R153">
            <v>6394086.6500000004</v>
          </cell>
          <cell r="S153">
            <v>6514031.8099999996</v>
          </cell>
          <cell r="T153">
            <v>6514031.8099999996</v>
          </cell>
          <cell r="U153">
            <v>6514031.8099999996</v>
          </cell>
          <cell r="V153">
            <v>6120175.3700000001</v>
          </cell>
          <cell r="W153">
            <v>6120175.3700000001</v>
          </cell>
          <cell r="X153">
            <v>6018792.9000000004</v>
          </cell>
          <cell r="Y153">
            <v>5881836.9299999997</v>
          </cell>
          <cell r="Z153">
            <v>5881836.9299999997</v>
          </cell>
          <cell r="AA153">
            <v>5881836.9299999997</v>
          </cell>
          <cell r="AB153">
            <v>8305232.25</v>
          </cell>
          <cell r="AC153">
            <v>8305232.25</v>
          </cell>
          <cell r="AD153">
            <v>8305232.25</v>
          </cell>
          <cell r="AE153">
            <v>8188206.9500000002</v>
          </cell>
          <cell r="AF153">
            <v>8188206.9500000002</v>
          </cell>
          <cell r="AG153">
            <v>8191274.6600000001</v>
          </cell>
          <cell r="AH153">
            <v>8035212.9100000001</v>
          </cell>
          <cell r="AI153">
            <v>8035212.9100000001</v>
          </cell>
          <cell r="AJ153">
            <v>8035212.9100000001</v>
          </cell>
          <cell r="AK153">
            <v>10827023.060000001</v>
          </cell>
          <cell r="AL153">
            <v>10827023.060000001</v>
          </cell>
          <cell r="AM153">
            <v>10827023.060000001</v>
          </cell>
          <cell r="AN153">
            <v>9370067.3300000001</v>
          </cell>
          <cell r="AO153">
            <v>9370067.3300000001</v>
          </cell>
          <cell r="AP153">
            <v>9370067.3300000001</v>
          </cell>
          <cell r="AQ153">
            <v>9229979.1500000004</v>
          </cell>
          <cell r="AR153">
            <v>9229979.1500000004</v>
          </cell>
          <cell r="AS153">
            <v>9229979.1500000004</v>
          </cell>
          <cell r="AT153">
            <v>9483106.1099999994</v>
          </cell>
          <cell r="AU153">
            <v>9483106.1099999994</v>
          </cell>
          <cell r="AV153">
            <v>9483106.1099999994</v>
          </cell>
          <cell r="AW153">
            <v>9331117.5399999991</v>
          </cell>
          <cell r="AX153">
            <v>9331117.5399999991</v>
          </cell>
          <cell r="AY153">
            <v>9331117.5399999991</v>
          </cell>
          <cell r="AZ153">
            <v>8964453.3800000008</v>
          </cell>
          <cell r="BA153">
            <v>8964453.3800000008</v>
          </cell>
          <cell r="BB153">
            <v>8964453.3800000008</v>
          </cell>
          <cell r="BC153">
            <v>8868570.4700000007</v>
          </cell>
          <cell r="BD153">
            <v>8868570.4700000007</v>
          </cell>
          <cell r="BE153">
            <v>8868570.4700000007</v>
          </cell>
          <cell r="BF153">
            <v>8761820.6600000001</v>
          </cell>
          <cell r="BG153">
            <v>8761820.6600000001</v>
          </cell>
          <cell r="BH153">
            <v>8761820.6600000001</v>
          </cell>
          <cell r="BI153">
            <v>8665127.0800000001</v>
          </cell>
          <cell r="BJ153">
            <v>8665127.0800000001</v>
          </cell>
          <cell r="BK153">
            <v>8665127.0800000001</v>
          </cell>
          <cell r="BL153">
            <v>9847866.0700000003</v>
          </cell>
          <cell r="BM153">
            <v>9847866.0700000003</v>
          </cell>
          <cell r="BN153">
            <v>9847866.0700000003</v>
          </cell>
          <cell r="BO153">
            <v>9769162.5999999996</v>
          </cell>
          <cell r="BP153">
            <v>9769162.5999999996</v>
          </cell>
          <cell r="BQ153">
            <v>9769162.5999999996</v>
          </cell>
          <cell r="BR153">
            <v>9682850.7300000004</v>
          </cell>
          <cell r="BS153">
            <v>9682850.7300000004</v>
          </cell>
          <cell r="BT153">
            <v>9682850.7300000004</v>
          </cell>
          <cell r="BU153">
            <v>9600342.9700000007</v>
          </cell>
          <cell r="BV153">
            <v>9600342.9700000007</v>
          </cell>
          <cell r="BW153">
            <v>9600342.9700000007</v>
          </cell>
          <cell r="BX153">
            <v>9643018.0399999991</v>
          </cell>
          <cell r="BY153">
            <v>9643018.0399999991</v>
          </cell>
          <cell r="BZ153">
            <v>9643018.0399999991</v>
          </cell>
          <cell r="CA153">
            <v>9539837.5299999993</v>
          </cell>
          <cell r="CB153">
            <v>9539837.5299999993</v>
          </cell>
          <cell r="CC153">
            <v>9539837.5299999993</v>
          </cell>
          <cell r="CD153">
            <v>9430925.1999999993</v>
          </cell>
          <cell r="CE153">
            <v>9430925.1999999993</v>
          </cell>
          <cell r="CF153">
            <v>9430925.1999999993</v>
          </cell>
          <cell r="CG153">
            <v>9324878.6799999997</v>
          </cell>
          <cell r="CH153">
            <v>9324878.6799999997</v>
          </cell>
          <cell r="CI153">
            <v>9324878.6799999997</v>
          </cell>
          <cell r="CJ153">
            <v>10561199.359999999</v>
          </cell>
          <cell r="CK153">
            <v>10561199.359999999</v>
          </cell>
          <cell r="CL153">
            <v>10561199.359999999</v>
          </cell>
          <cell r="CM153">
            <v>10423095.82</v>
          </cell>
          <cell r="CN153">
            <v>10423095.82</v>
          </cell>
          <cell r="CO153">
            <v>10423095.82</v>
          </cell>
          <cell r="CP153">
            <v>10284992.279999999</v>
          </cell>
          <cell r="CQ153">
            <v>10284992.279999999</v>
          </cell>
          <cell r="CR153">
            <v>10284992.279999999</v>
          </cell>
          <cell r="CS153">
            <v>10070721.060000001</v>
          </cell>
          <cell r="CT153">
            <v>10070721.060000001</v>
          </cell>
          <cell r="CU153">
            <v>10070721.060000001</v>
          </cell>
          <cell r="CV153">
            <v>8799943.1199999992</v>
          </cell>
          <cell r="CW153">
            <v>8799943.1199999992</v>
          </cell>
          <cell r="CX153">
            <v>8799943.1199999992</v>
          </cell>
          <cell r="CY153">
            <v>8689937.5199999996</v>
          </cell>
          <cell r="CZ153">
            <v>8689937.5199999996</v>
          </cell>
          <cell r="DA153">
            <v>8689937.5199999996</v>
          </cell>
          <cell r="DB153">
            <v>8351004.7800000003</v>
          </cell>
          <cell r="DC153">
            <v>8351004.7800000003</v>
          </cell>
          <cell r="DD153">
            <v>8351004.7800000003</v>
          </cell>
          <cell r="DE153">
            <v>8239987.8700000001</v>
          </cell>
          <cell r="DF153">
            <v>8239987.8700000001</v>
          </cell>
          <cell r="DG153">
            <v>8239987.8700000001</v>
          </cell>
          <cell r="DH153">
            <v>9743462.5299999993</v>
          </cell>
        </row>
        <row r="154">
          <cell r="A154" t="str">
            <v>1900309</v>
          </cell>
          <cell r="B154" t="str">
            <v>1900309</v>
          </cell>
          <cell r="C154" t="str">
            <v>Defd FIT FAS158 MedD</v>
          </cell>
          <cell r="D154">
            <v>31991</v>
          </cell>
          <cell r="E154">
            <v>31991</v>
          </cell>
          <cell r="F154">
            <v>31991</v>
          </cell>
          <cell r="G154">
            <v>31991</v>
          </cell>
          <cell r="H154">
            <v>31991</v>
          </cell>
          <cell r="I154">
            <v>31991</v>
          </cell>
          <cell r="J154">
            <v>31991</v>
          </cell>
          <cell r="K154">
            <v>31991</v>
          </cell>
          <cell r="L154">
            <v>31991</v>
          </cell>
          <cell r="M154">
            <v>31991</v>
          </cell>
          <cell r="N154">
            <v>31991</v>
          </cell>
          <cell r="O154">
            <v>31991</v>
          </cell>
          <cell r="P154">
            <v>31991</v>
          </cell>
          <cell r="Q154">
            <v>31991</v>
          </cell>
          <cell r="R154">
            <v>31991</v>
          </cell>
          <cell r="S154">
            <v>31991</v>
          </cell>
          <cell r="T154">
            <v>31991</v>
          </cell>
          <cell r="U154">
            <v>31991</v>
          </cell>
          <cell r="V154">
            <v>31991</v>
          </cell>
          <cell r="W154">
            <v>31991</v>
          </cell>
          <cell r="X154">
            <v>31991</v>
          </cell>
          <cell r="Y154">
            <v>31991</v>
          </cell>
          <cell r="Z154">
            <v>31991</v>
          </cell>
          <cell r="AA154">
            <v>31991</v>
          </cell>
          <cell r="AB154">
            <v>31991</v>
          </cell>
          <cell r="AC154">
            <v>31991</v>
          </cell>
          <cell r="AD154">
            <v>31991</v>
          </cell>
          <cell r="AE154">
            <v>31991</v>
          </cell>
          <cell r="AF154">
            <v>31991</v>
          </cell>
          <cell r="AG154">
            <v>31991</v>
          </cell>
          <cell r="AH154">
            <v>31991</v>
          </cell>
          <cell r="AI154">
            <v>31991</v>
          </cell>
          <cell r="AJ154">
            <v>31991</v>
          </cell>
          <cell r="AK154">
            <v>31991</v>
          </cell>
          <cell r="AL154">
            <v>31991</v>
          </cell>
          <cell r="AM154">
            <v>31991</v>
          </cell>
          <cell r="AN154">
            <v>31991</v>
          </cell>
          <cell r="AO154">
            <v>31991</v>
          </cell>
          <cell r="AP154">
            <v>31991</v>
          </cell>
          <cell r="AQ154">
            <v>31991</v>
          </cell>
          <cell r="AR154">
            <v>31991</v>
          </cell>
          <cell r="AS154">
            <v>31991</v>
          </cell>
          <cell r="AT154">
            <v>31991</v>
          </cell>
          <cell r="AU154">
            <v>31991</v>
          </cell>
          <cell r="AV154">
            <v>31991</v>
          </cell>
          <cell r="AW154">
            <v>31991</v>
          </cell>
          <cell r="AX154">
            <v>31991</v>
          </cell>
          <cell r="AY154">
            <v>31991</v>
          </cell>
          <cell r="AZ154">
            <v>31991</v>
          </cell>
          <cell r="BA154">
            <v>31991</v>
          </cell>
          <cell r="BB154">
            <v>31991</v>
          </cell>
          <cell r="BC154">
            <v>31991</v>
          </cell>
          <cell r="BD154">
            <v>31991</v>
          </cell>
          <cell r="BE154">
            <v>31991</v>
          </cell>
          <cell r="BF154">
            <v>31991</v>
          </cell>
          <cell r="BG154">
            <v>31991</v>
          </cell>
          <cell r="BH154">
            <v>31991</v>
          </cell>
          <cell r="BI154">
            <v>31991</v>
          </cell>
          <cell r="BJ154">
            <v>31991</v>
          </cell>
          <cell r="BK154">
            <v>31991</v>
          </cell>
          <cell r="BL154">
            <v>31991</v>
          </cell>
          <cell r="BM154">
            <v>31991</v>
          </cell>
          <cell r="BN154">
            <v>31991</v>
          </cell>
          <cell r="BO154">
            <v>31991</v>
          </cell>
          <cell r="BP154">
            <v>31991</v>
          </cell>
          <cell r="BQ154">
            <v>31991</v>
          </cell>
          <cell r="BR154">
            <v>31991</v>
          </cell>
          <cell r="BS154">
            <v>31991</v>
          </cell>
          <cell r="BT154">
            <v>31991</v>
          </cell>
          <cell r="BU154">
            <v>31991</v>
          </cell>
          <cell r="BV154">
            <v>31991</v>
          </cell>
          <cell r="BW154">
            <v>31991</v>
          </cell>
          <cell r="BX154">
            <v>31991</v>
          </cell>
          <cell r="BY154">
            <v>31991</v>
          </cell>
          <cell r="BZ154">
            <v>31991</v>
          </cell>
          <cell r="CA154">
            <v>31991</v>
          </cell>
          <cell r="CB154">
            <v>31991</v>
          </cell>
          <cell r="CC154">
            <v>31991</v>
          </cell>
          <cell r="CD154">
            <v>31991</v>
          </cell>
          <cell r="CE154">
            <v>31991</v>
          </cell>
          <cell r="CF154">
            <v>31991</v>
          </cell>
          <cell r="CG154">
            <v>31991</v>
          </cell>
          <cell r="CH154">
            <v>31991</v>
          </cell>
          <cell r="CI154">
            <v>31991</v>
          </cell>
          <cell r="CJ154">
            <v>31991</v>
          </cell>
          <cell r="CK154">
            <v>31991</v>
          </cell>
          <cell r="CL154">
            <v>31991</v>
          </cell>
          <cell r="CM154">
            <v>31991</v>
          </cell>
          <cell r="CN154">
            <v>31991</v>
          </cell>
          <cell r="CO154">
            <v>31991</v>
          </cell>
          <cell r="CP154">
            <v>31991</v>
          </cell>
          <cell r="CQ154">
            <v>31991</v>
          </cell>
          <cell r="CR154">
            <v>31991</v>
          </cell>
          <cell r="CS154">
            <v>31991</v>
          </cell>
          <cell r="CT154">
            <v>31991</v>
          </cell>
          <cell r="CU154">
            <v>31991</v>
          </cell>
          <cell r="CV154">
            <v>31991</v>
          </cell>
          <cell r="CW154">
            <v>31991</v>
          </cell>
          <cell r="CX154">
            <v>31991</v>
          </cell>
          <cell r="CY154">
            <v>31991</v>
          </cell>
          <cell r="CZ154">
            <v>31991</v>
          </cell>
          <cell r="DA154">
            <v>31991</v>
          </cell>
          <cell r="DB154">
            <v>31991</v>
          </cell>
          <cell r="DC154">
            <v>31991</v>
          </cell>
          <cell r="DD154">
            <v>31991</v>
          </cell>
          <cell r="DE154">
            <v>31991</v>
          </cell>
          <cell r="DF154">
            <v>31991</v>
          </cell>
          <cell r="DG154">
            <v>31991</v>
          </cell>
          <cell r="DH154">
            <v>31991</v>
          </cell>
        </row>
        <row r="155">
          <cell r="A155" t="str">
            <v>1900310</v>
          </cell>
          <cell r="B155" t="str">
            <v>1900310</v>
          </cell>
          <cell r="C155" t="str">
            <v>Defd Tax FIT Credits</v>
          </cell>
          <cell r="D155">
            <v>104848</v>
          </cell>
          <cell r="E155">
            <v>104848</v>
          </cell>
          <cell r="F155">
            <v>104848</v>
          </cell>
          <cell r="G155">
            <v>104848</v>
          </cell>
          <cell r="H155">
            <v>104848</v>
          </cell>
          <cell r="I155">
            <v>104848</v>
          </cell>
          <cell r="J155">
            <v>104848</v>
          </cell>
          <cell r="K155">
            <v>104848</v>
          </cell>
          <cell r="L155">
            <v>104848</v>
          </cell>
          <cell r="M155">
            <v>104848</v>
          </cell>
          <cell r="N155">
            <v>104848</v>
          </cell>
          <cell r="O155">
            <v>104848</v>
          </cell>
          <cell r="P155">
            <v>104848</v>
          </cell>
          <cell r="Q155">
            <v>104848</v>
          </cell>
          <cell r="R155">
            <v>104848</v>
          </cell>
          <cell r="S155">
            <v>104848</v>
          </cell>
          <cell r="T155">
            <v>104848</v>
          </cell>
          <cell r="U155">
            <v>104848</v>
          </cell>
          <cell r="V155">
            <v>104848</v>
          </cell>
          <cell r="W155">
            <v>104848</v>
          </cell>
          <cell r="X155">
            <v>104848</v>
          </cell>
          <cell r="Y155">
            <v>104848</v>
          </cell>
          <cell r="Z155">
            <v>104848</v>
          </cell>
          <cell r="AA155">
            <v>104848</v>
          </cell>
          <cell r="AB155">
            <v>104848</v>
          </cell>
          <cell r="AC155">
            <v>104848</v>
          </cell>
          <cell r="AD155">
            <v>104848</v>
          </cell>
          <cell r="AE155">
            <v>104848</v>
          </cell>
          <cell r="AF155">
            <v>104848</v>
          </cell>
          <cell r="AG155">
            <v>104848</v>
          </cell>
          <cell r="AH155">
            <v>104848</v>
          </cell>
          <cell r="AI155">
            <v>104848</v>
          </cell>
          <cell r="AJ155">
            <v>462207</v>
          </cell>
          <cell r="AK155">
            <v>394317</v>
          </cell>
          <cell r="AL155">
            <v>394317</v>
          </cell>
          <cell r="AM155">
            <v>394317</v>
          </cell>
          <cell r="AN155">
            <v>394317</v>
          </cell>
          <cell r="AO155">
            <v>394317</v>
          </cell>
          <cell r="AP155">
            <v>394317</v>
          </cell>
          <cell r="AQ155">
            <v>394317</v>
          </cell>
          <cell r="AR155">
            <v>394317</v>
          </cell>
          <cell r="AS155">
            <v>394317</v>
          </cell>
          <cell r="AT155">
            <v>394317</v>
          </cell>
          <cell r="AU155">
            <v>394317</v>
          </cell>
          <cell r="AV155">
            <v>394317</v>
          </cell>
          <cell r="AW155">
            <v>394317</v>
          </cell>
          <cell r="AX155">
            <v>394317</v>
          </cell>
          <cell r="AY155">
            <v>394317</v>
          </cell>
          <cell r="AZ155">
            <v>394317</v>
          </cell>
          <cell r="BA155">
            <v>394317</v>
          </cell>
          <cell r="BB155">
            <v>394317</v>
          </cell>
          <cell r="BC155">
            <v>394317</v>
          </cell>
          <cell r="BD155">
            <v>394317</v>
          </cell>
          <cell r="BE155">
            <v>394317</v>
          </cell>
          <cell r="BF155">
            <v>394317</v>
          </cell>
          <cell r="BG155">
            <v>394317</v>
          </cell>
          <cell r="BH155">
            <v>394317</v>
          </cell>
          <cell r="BI155">
            <v>394317</v>
          </cell>
          <cell r="BJ155">
            <v>394317</v>
          </cell>
          <cell r="BK155">
            <v>394317</v>
          </cell>
          <cell r="BL155">
            <v>683608.01</v>
          </cell>
          <cell r="BM155">
            <v>683608.01</v>
          </cell>
          <cell r="BN155">
            <v>683608.01</v>
          </cell>
          <cell r="BO155">
            <v>683608.01</v>
          </cell>
          <cell r="BP155">
            <v>683608.01</v>
          </cell>
          <cell r="BQ155">
            <v>683608.01</v>
          </cell>
          <cell r="BR155">
            <v>683608.01</v>
          </cell>
          <cell r="BS155">
            <v>683608.01</v>
          </cell>
          <cell r="BT155">
            <v>683608.01</v>
          </cell>
          <cell r="BU155">
            <v>683608.01</v>
          </cell>
          <cell r="BV155">
            <v>683608.01</v>
          </cell>
          <cell r="BW155">
            <v>683608.01</v>
          </cell>
          <cell r="BX155">
            <v>925322.01</v>
          </cell>
          <cell r="BY155">
            <v>925322.01</v>
          </cell>
          <cell r="BZ155">
            <v>925322.01</v>
          </cell>
          <cell r="CA155">
            <v>925322.01</v>
          </cell>
          <cell r="CB155">
            <v>925322.01</v>
          </cell>
          <cell r="CC155">
            <v>925322.01</v>
          </cell>
          <cell r="CD155">
            <v>925322.01</v>
          </cell>
          <cell r="CE155">
            <v>925322.01</v>
          </cell>
          <cell r="CF155">
            <v>925322.01</v>
          </cell>
          <cell r="CG155">
            <v>925322.01</v>
          </cell>
          <cell r="CH155">
            <v>1263660.01</v>
          </cell>
          <cell r="CI155">
            <v>1263660.01</v>
          </cell>
          <cell r="CJ155">
            <v>1821886.01</v>
          </cell>
          <cell r="CK155">
            <v>1821886.01</v>
          </cell>
          <cell r="CL155">
            <v>1821886.01</v>
          </cell>
          <cell r="CM155">
            <v>1821886.01</v>
          </cell>
          <cell r="CN155">
            <v>1821886.01</v>
          </cell>
          <cell r="CO155">
            <v>1821886.01</v>
          </cell>
          <cell r="CP155">
            <v>1821886.01</v>
          </cell>
          <cell r="CQ155">
            <v>1821886.01</v>
          </cell>
          <cell r="CR155">
            <v>1821886.01</v>
          </cell>
          <cell r="CS155">
            <v>1821886.01</v>
          </cell>
          <cell r="CT155">
            <v>1821886.01</v>
          </cell>
          <cell r="CU155">
            <v>1821886.01</v>
          </cell>
          <cell r="CV155">
            <v>2028740.01</v>
          </cell>
          <cell r="CW155">
            <v>2028740.01</v>
          </cell>
          <cell r="CX155">
            <v>2028740.01</v>
          </cell>
          <cell r="CY155">
            <v>2028740.01</v>
          </cell>
          <cell r="CZ155">
            <v>2028740.01</v>
          </cell>
          <cell r="DA155">
            <v>2028740.01</v>
          </cell>
          <cell r="DB155">
            <v>2028740.01</v>
          </cell>
          <cell r="DC155">
            <v>2028740.01</v>
          </cell>
          <cell r="DD155">
            <v>2028740.01</v>
          </cell>
          <cell r="DE155">
            <v>2028740.01</v>
          </cell>
          <cell r="DF155">
            <v>2028740.01</v>
          </cell>
          <cell r="DG155">
            <v>2028740.01</v>
          </cell>
          <cell r="DH155">
            <v>2269912.0099999998</v>
          </cell>
        </row>
        <row r="156">
          <cell r="A156" t="str">
            <v>1900400</v>
          </cell>
          <cell r="B156" t="str">
            <v>1900400</v>
          </cell>
          <cell r="C156" t="str">
            <v>DTA State</v>
          </cell>
          <cell r="D156">
            <v>3596496.98</v>
          </cell>
          <cell r="E156">
            <v>3534839.91</v>
          </cell>
          <cell r="F156">
            <v>3505106.64</v>
          </cell>
          <cell r="G156">
            <v>3576317.07</v>
          </cell>
          <cell r="H156">
            <v>3596433.02</v>
          </cell>
          <cell r="I156">
            <v>3617914.37</v>
          </cell>
          <cell r="J156">
            <v>3605931.36</v>
          </cell>
          <cell r="K156">
            <v>3591551.95</v>
          </cell>
          <cell r="L156">
            <v>3543164.26</v>
          </cell>
          <cell r="M156">
            <v>3633420.07</v>
          </cell>
          <cell r="N156">
            <v>3691718.62</v>
          </cell>
          <cell r="O156">
            <v>3350951.11</v>
          </cell>
          <cell r="P156">
            <v>3389834.74</v>
          </cell>
          <cell r="Q156">
            <v>3456934.45</v>
          </cell>
          <cell r="R156">
            <v>3343494.81</v>
          </cell>
          <cell r="S156">
            <v>3419164.06</v>
          </cell>
          <cell r="T156">
            <v>3466988.16</v>
          </cell>
          <cell r="U156">
            <v>3465632.27</v>
          </cell>
          <cell r="V156">
            <v>3458423.72</v>
          </cell>
          <cell r="W156">
            <v>3463100.59</v>
          </cell>
          <cell r="X156">
            <v>3469170.42</v>
          </cell>
          <cell r="Y156">
            <v>3468286.38</v>
          </cell>
          <cell r="Z156">
            <v>3471080.99</v>
          </cell>
          <cell r="AA156">
            <v>3495352.96</v>
          </cell>
          <cell r="AB156">
            <v>3518399.69</v>
          </cell>
          <cell r="AC156">
            <v>3561538.32</v>
          </cell>
          <cell r="AD156">
            <v>3503979.91</v>
          </cell>
          <cell r="AE156">
            <v>3556674.69</v>
          </cell>
          <cell r="AF156">
            <v>3580683.11</v>
          </cell>
          <cell r="AG156">
            <v>3595374.3</v>
          </cell>
          <cell r="AH156">
            <v>3594922.74</v>
          </cell>
          <cell r="AI156">
            <v>3613032.82</v>
          </cell>
          <cell r="AJ156">
            <v>3636578.07</v>
          </cell>
          <cell r="AK156">
            <v>3670385.45</v>
          </cell>
          <cell r="AL156">
            <v>3663518.65</v>
          </cell>
          <cell r="AM156">
            <v>3635494.59</v>
          </cell>
          <cell r="AN156">
            <v>4504656.41</v>
          </cell>
          <cell r="AO156">
            <v>4634067.47</v>
          </cell>
          <cell r="AP156">
            <v>4493942.4800000004</v>
          </cell>
          <cell r="AQ156">
            <v>4570558.29</v>
          </cell>
          <cell r="AR156">
            <v>4614921.8</v>
          </cell>
          <cell r="AS156">
            <v>4640610.46</v>
          </cell>
          <cell r="AT156">
            <v>4678469.83</v>
          </cell>
          <cell r="AU156">
            <v>4705225.01</v>
          </cell>
          <cell r="AV156">
            <v>4703431.13</v>
          </cell>
          <cell r="AW156">
            <v>4802455.92</v>
          </cell>
          <cell r="AX156">
            <v>4790790.5199999996</v>
          </cell>
          <cell r="AY156">
            <v>4811704.91</v>
          </cell>
          <cell r="AZ156">
            <v>4734390.3099999996</v>
          </cell>
          <cell r="BA156">
            <v>4867931.43</v>
          </cell>
          <cell r="BB156">
            <v>4804444.53</v>
          </cell>
          <cell r="BC156">
            <v>5044780.84</v>
          </cell>
          <cell r="BD156">
            <v>5113146.83</v>
          </cell>
          <cell r="BE156">
            <v>5169997.8899999997</v>
          </cell>
          <cell r="BF156">
            <v>5209179.17</v>
          </cell>
          <cell r="BG156">
            <v>5224289.33</v>
          </cell>
          <cell r="BH156">
            <v>5232685.16</v>
          </cell>
          <cell r="BI156">
            <v>5614151.8300000001</v>
          </cell>
          <cell r="BJ156">
            <v>5629883.3200000003</v>
          </cell>
          <cell r="BK156">
            <v>5655171.21</v>
          </cell>
          <cell r="BL156">
            <v>5511194.5800000001</v>
          </cell>
          <cell r="BM156">
            <v>5561571.7400000002</v>
          </cell>
          <cell r="BN156">
            <v>5391371.3600000003</v>
          </cell>
          <cell r="BO156">
            <v>5528186.8799999999</v>
          </cell>
          <cell r="BP156">
            <v>5554404.2300000004</v>
          </cell>
          <cell r="BQ156">
            <v>5562509.8200000003</v>
          </cell>
          <cell r="BR156">
            <v>5591404.54</v>
          </cell>
          <cell r="BS156">
            <v>5654697.6399999997</v>
          </cell>
          <cell r="BT156">
            <v>5675634.6699999999</v>
          </cell>
          <cell r="BU156">
            <v>5640338.4199999999</v>
          </cell>
          <cell r="BV156">
            <v>5662500.7999999998</v>
          </cell>
          <cell r="BW156">
            <v>5714268.1600000001</v>
          </cell>
          <cell r="BX156">
            <v>5755791.2699999996</v>
          </cell>
          <cell r="BY156">
            <v>5857340.7400000002</v>
          </cell>
          <cell r="BZ156">
            <v>5688702.4400000004</v>
          </cell>
          <cell r="CA156">
            <v>5746567.4299999997</v>
          </cell>
          <cell r="CB156">
            <v>5791915.6600000001</v>
          </cell>
          <cell r="CC156">
            <v>5816596.6799999997</v>
          </cell>
          <cell r="CD156">
            <v>5895500.9400000004</v>
          </cell>
          <cell r="CE156">
            <v>5911726.7699999996</v>
          </cell>
          <cell r="CF156">
            <v>5901744.6399999997</v>
          </cell>
          <cell r="CG156">
            <v>5964287.04</v>
          </cell>
          <cell r="CH156">
            <v>5976300.5800000001</v>
          </cell>
          <cell r="CI156">
            <v>5935857.5300000003</v>
          </cell>
          <cell r="CJ156">
            <v>6067292.54</v>
          </cell>
          <cell r="CK156">
            <v>6186995.7199999997</v>
          </cell>
          <cell r="CL156">
            <v>6248982.9900000002</v>
          </cell>
          <cell r="CM156">
            <v>5986342.1699999999</v>
          </cell>
          <cell r="CN156">
            <v>6064816.8499999996</v>
          </cell>
          <cell r="CO156">
            <v>6055023.3099999996</v>
          </cell>
          <cell r="CP156">
            <v>6165453.25</v>
          </cell>
          <cell r="CQ156">
            <v>6190224.8499999996</v>
          </cell>
          <cell r="CR156">
            <v>6241744.8600000003</v>
          </cell>
          <cell r="CS156">
            <v>6372000.2000000002</v>
          </cell>
          <cell r="CT156">
            <v>6277965.5199999996</v>
          </cell>
          <cell r="CU156">
            <v>6379811.96</v>
          </cell>
          <cell r="CV156">
            <v>6390655.1200000001</v>
          </cell>
          <cell r="CW156">
            <v>6468628.7800000003</v>
          </cell>
          <cell r="CX156">
            <v>6735483.1100000003</v>
          </cell>
          <cell r="CY156">
            <v>6359470.7300000004</v>
          </cell>
          <cell r="CZ156">
            <v>6434553.5599999996</v>
          </cell>
          <cell r="DA156">
            <v>6486961.4100000001</v>
          </cell>
          <cell r="DB156">
            <v>6657317.21</v>
          </cell>
          <cell r="DC156">
            <v>6658960.4000000004</v>
          </cell>
          <cell r="DD156">
            <v>6589910.46</v>
          </cell>
          <cell r="DE156">
            <v>6735039.1100000003</v>
          </cell>
          <cell r="DF156">
            <v>6769987.0199999996</v>
          </cell>
          <cell r="DG156">
            <v>6856261.1100000003</v>
          </cell>
          <cell r="DH156">
            <v>6913000.7800000003</v>
          </cell>
        </row>
        <row r="157">
          <cell r="A157" t="str">
            <v>1900403</v>
          </cell>
          <cell r="B157" t="str">
            <v>1900403</v>
          </cell>
          <cell r="C157" t="str">
            <v>DTA Sep Co State</v>
          </cell>
          <cell r="AL157">
            <v>0</v>
          </cell>
          <cell r="AM157">
            <v>0</v>
          </cell>
          <cell r="AN157">
            <v>221311.32</v>
          </cell>
          <cell r="AO157">
            <v>221311.32</v>
          </cell>
          <cell r="AP157">
            <v>221311.32</v>
          </cell>
          <cell r="AQ157">
            <v>221311.32</v>
          </cell>
          <cell r="AR157">
            <v>221311.32</v>
          </cell>
          <cell r="AS157">
            <v>221311.32</v>
          </cell>
          <cell r="AT157">
            <v>221311.32</v>
          </cell>
          <cell r="AU157">
            <v>221311.32</v>
          </cell>
          <cell r="AV157">
            <v>221311.32</v>
          </cell>
          <cell r="AW157">
            <v>221311.32</v>
          </cell>
          <cell r="AX157">
            <v>221311.32</v>
          </cell>
          <cell r="AY157">
            <v>221311.32</v>
          </cell>
          <cell r="AZ157">
            <v>254375.84</v>
          </cell>
          <cell r="BA157">
            <v>254375.84</v>
          </cell>
          <cell r="BB157">
            <v>254375.84</v>
          </cell>
          <cell r="BC157">
            <v>254375.84</v>
          </cell>
          <cell r="BD157">
            <v>254375.84</v>
          </cell>
          <cell r="BE157">
            <v>254375.84</v>
          </cell>
          <cell r="BF157">
            <v>254375.84</v>
          </cell>
          <cell r="BG157">
            <v>254375.84</v>
          </cell>
          <cell r="BH157">
            <v>254375.84</v>
          </cell>
          <cell r="BI157">
            <v>254375.84</v>
          </cell>
          <cell r="BJ157">
            <v>254375.84</v>
          </cell>
          <cell r="BK157">
            <v>278220.05</v>
          </cell>
          <cell r="BL157">
            <v>278220.05</v>
          </cell>
          <cell r="BM157">
            <v>278220.05</v>
          </cell>
          <cell r="BN157">
            <v>278220.05</v>
          </cell>
          <cell r="BO157">
            <v>278220.05</v>
          </cell>
          <cell r="BP157">
            <v>278220.05</v>
          </cell>
          <cell r="BQ157">
            <v>278220.05</v>
          </cell>
          <cell r="BR157">
            <v>278220.05</v>
          </cell>
          <cell r="BS157">
            <v>278220.05</v>
          </cell>
          <cell r="BT157">
            <v>278220.05</v>
          </cell>
          <cell r="BU157">
            <v>278220.05</v>
          </cell>
          <cell r="BV157">
            <v>278220.05</v>
          </cell>
          <cell r="BW157">
            <v>278220.05</v>
          </cell>
          <cell r="BX157">
            <v>278220.05</v>
          </cell>
          <cell r="BY157">
            <v>278220.05</v>
          </cell>
          <cell r="BZ157">
            <v>278220.05</v>
          </cell>
          <cell r="CA157">
            <v>278220.05</v>
          </cell>
          <cell r="CB157">
            <v>278220.05</v>
          </cell>
          <cell r="CC157">
            <v>278220.05</v>
          </cell>
          <cell r="CD157">
            <v>278220.05</v>
          </cell>
          <cell r="CE157">
            <v>278220.05</v>
          </cell>
          <cell r="CF157">
            <v>278220.05</v>
          </cell>
          <cell r="CG157">
            <v>278220.05</v>
          </cell>
          <cell r="CH157">
            <v>278220.05</v>
          </cell>
          <cell r="CI157">
            <v>278220.05</v>
          </cell>
          <cell r="CJ157">
            <v>278220.05</v>
          </cell>
          <cell r="CK157">
            <v>278220.05</v>
          </cell>
          <cell r="CL157">
            <v>278220.05</v>
          </cell>
          <cell r="CM157">
            <v>278220.05</v>
          </cell>
          <cell r="CN157">
            <v>278220.05</v>
          </cell>
          <cell r="CO157">
            <v>278220.05</v>
          </cell>
          <cell r="CP157">
            <v>278220.05</v>
          </cell>
          <cell r="CQ157">
            <v>278220.05</v>
          </cell>
          <cell r="CR157">
            <v>278220.05</v>
          </cell>
          <cell r="CS157">
            <v>278220.05</v>
          </cell>
          <cell r="CT157">
            <v>278220.05</v>
          </cell>
          <cell r="CU157">
            <v>278220.05</v>
          </cell>
          <cell r="CV157">
            <v>278220.05</v>
          </cell>
          <cell r="CW157">
            <v>278220.05</v>
          </cell>
          <cell r="CX157">
            <v>278220.05</v>
          </cell>
          <cell r="CY157">
            <v>278220.05</v>
          </cell>
          <cell r="CZ157">
            <v>278220.05</v>
          </cell>
          <cell r="DA157">
            <v>278220.05</v>
          </cell>
          <cell r="DB157">
            <v>278220.05</v>
          </cell>
          <cell r="DC157">
            <v>278220.05</v>
          </cell>
          <cell r="DD157">
            <v>278220.05</v>
          </cell>
          <cell r="DE157">
            <v>278220.05</v>
          </cell>
          <cell r="DF157">
            <v>278220.05</v>
          </cell>
          <cell r="DG157">
            <v>278220.05</v>
          </cell>
          <cell r="DH157">
            <v>278220.05</v>
          </cell>
        </row>
        <row r="158">
          <cell r="A158" t="str">
            <v>1900405</v>
          </cell>
          <cell r="B158" t="str">
            <v>1900405</v>
          </cell>
          <cell r="C158" t="str">
            <v>DTA State NonUtility</v>
          </cell>
          <cell r="AL158">
            <v>0</v>
          </cell>
          <cell r="AM158">
            <v>0</v>
          </cell>
          <cell r="AN158">
            <v>1.05</v>
          </cell>
          <cell r="AO158">
            <v>1.05</v>
          </cell>
          <cell r="AP158">
            <v>1.05</v>
          </cell>
          <cell r="AQ158">
            <v>0</v>
          </cell>
          <cell r="AR158">
            <v>0</v>
          </cell>
          <cell r="AS158">
            <v>0</v>
          </cell>
          <cell r="AT158">
            <v>0</v>
          </cell>
          <cell r="AU158">
            <v>0</v>
          </cell>
          <cell r="AV158">
            <v>0</v>
          </cell>
          <cell r="AW158">
            <v>0</v>
          </cell>
          <cell r="AX158">
            <v>-3.13</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row>
        <row r="159">
          <cell r="A159" t="str">
            <v>1900406</v>
          </cell>
          <cell r="B159" t="str">
            <v>1900406</v>
          </cell>
          <cell r="C159" t="str">
            <v>Defd SIT FAS133</v>
          </cell>
          <cell r="D159">
            <v>64395.26</v>
          </cell>
          <cell r="E159">
            <v>196970.01</v>
          </cell>
          <cell r="F159">
            <v>137538.10999999999</v>
          </cell>
          <cell r="G159">
            <v>83794.039999999994</v>
          </cell>
          <cell r="H159">
            <v>170004.34</v>
          </cell>
          <cell r="I159">
            <v>69756.11</v>
          </cell>
          <cell r="J159">
            <v>47596.34</v>
          </cell>
          <cell r="K159">
            <v>178673.99</v>
          </cell>
          <cell r="L159">
            <v>84192.24</v>
          </cell>
          <cell r="M159">
            <v>88981.36</v>
          </cell>
          <cell r="N159">
            <v>201239.11</v>
          </cell>
          <cell r="O159">
            <v>148671.21</v>
          </cell>
          <cell r="P159">
            <v>494201.56</v>
          </cell>
          <cell r="Q159">
            <v>498571.59</v>
          </cell>
          <cell r="R159">
            <v>408521.46</v>
          </cell>
          <cell r="S159">
            <v>397211.54</v>
          </cell>
          <cell r="T159">
            <v>346087.39</v>
          </cell>
          <cell r="U159">
            <v>346936.59</v>
          </cell>
          <cell r="V159">
            <v>285707.84000000003</v>
          </cell>
          <cell r="W159">
            <v>287014.09000000003</v>
          </cell>
          <cell r="X159">
            <v>305231.19</v>
          </cell>
          <cell r="Y159">
            <v>348279.69</v>
          </cell>
          <cell r="Z159">
            <v>442421.54</v>
          </cell>
          <cell r="AA159">
            <v>443604.04</v>
          </cell>
          <cell r="AB159">
            <v>349027.14</v>
          </cell>
          <cell r="AC159">
            <v>268710.64</v>
          </cell>
          <cell r="AD159">
            <v>298707.09000000003</v>
          </cell>
          <cell r="AE159">
            <v>190043.31</v>
          </cell>
          <cell r="AF159">
            <v>111543.74</v>
          </cell>
          <cell r="AG159">
            <v>97201.12</v>
          </cell>
          <cell r="AH159">
            <v>38622.82</v>
          </cell>
          <cell r="AI159">
            <v>37769.22</v>
          </cell>
          <cell r="AJ159">
            <v>28877.37</v>
          </cell>
          <cell r="AK159">
            <v>28740.42</v>
          </cell>
          <cell r="AL159">
            <v>30905.22</v>
          </cell>
          <cell r="AM159">
            <v>33490.769999999997</v>
          </cell>
          <cell r="AN159">
            <v>109407.82</v>
          </cell>
          <cell r="AO159">
            <v>32529.37</v>
          </cell>
          <cell r="AP159">
            <v>23155.72</v>
          </cell>
          <cell r="AQ159">
            <v>26790.94</v>
          </cell>
          <cell r="AR159">
            <v>29636.09</v>
          </cell>
          <cell r="AS159">
            <v>9539.09</v>
          </cell>
          <cell r="AT159">
            <v>6080.14</v>
          </cell>
          <cell r="AU159">
            <v>8165.74</v>
          </cell>
          <cell r="AV159">
            <v>5822.74</v>
          </cell>
          <cell r="AW159">
            <v>4893.24</v>
          </cell>
          <cell r="AX159">
            <v>7865.99</v>
          </cell>
          <cell r="AY159">
            <v>3727.79</v>
          </cell>
          <cell r="AZ159">
            <v>9958.19</v>
          </cell>
          <cell r="BA159">
            <v>4381.74</v>
          </cell>
          <cell r="BB159">
            <v>6221.49</v>
          </cell>
          <cell r="BC159">
            <v>1795.09</v>
          </cell>
          <cell r="BD159">
            <v>1524.76</v>
          </cell>
          <cell r="BE159">
            <v>1100.71</v>
          </cell>
          <cell r="BF159">
            <v>858.16</v>
          </cell>
          <cell r="BG159">
            <v>644.21</v>
          </cell>
          <cell r="BH159">
            <v>192.11</v>
          </cell>
          <cell r="BI159">
            <v>551.80999999999995</v>
          </cell>
          <cell r="BJ159">
            <v>805.36</v>
          </cell>
          <cell r="BK159">
            <v>-0.39</v>
          </cell>
          <cell r="BL159">
            <v>-0.39</v>
          </cell>
          <cell r="BM159">
            <v>-0.39</v>
          </cell>
          <cell r="BN159">
            <v>-0.39</v>
          </cell>
          <cell r="BO159">
            <v>-0.39</v>
          </cell>
          <cell r="BP159">
            <v>-0.39</v>
          </cell>
          <cell r="BQ159">
            <v>-0.39</v>
          </cell>
          <cell r="BR159">
            <v>-0.39</v>
          </cell>
          <cell r="BS159">
            <v>-0.39</v>
          </cell>
          <cell r="BT159">
            <v>-0.39</v>
          </cell>
          <cell r="BU159">
            <v>-0.39</v>
          </cell>
          <cell r="BV159">
            <v>-0.39</v>
          </cell>
          <cell r="BW159">
            <v>-0.39</v>
          </cell>
          <cell r="BX159">
            <v>-0.39</v>
          </cell>
          <cell r="BY159">
            <v>-0.39</v>
          </cell>
          <cell r="BZ159">
            <v>-0.39</v>
          </cell>
          <cell r="CA159">
            <v>-0.39</v>
          </cell>
          <cell r="CB159">
            <v>-0.39</v>
          </cell>
          <cell r="CC159">
            <v>-0.39</v>
          </cell>
          <cell r="CD159">
            <v>-0.39</v>
          </cell>
          <cell r="CE159">
            <v>-0.39</v>
          </cell>
          <cell r="CF159">
            <v>-0.39</v>
          </cell>
          <cell r="CG159">
            <v>-0.39</v>
          </cell>
          <cell r="CH159">
            <v>-0.39</v>
          </cell>
          <cell r="CI159">
            <v>-0.39</v>
          </cell>
          <cell r="CJ159">
            <v>-0.39</v>
          </cell>
          <cell r="CK159">
            <v>-0.39</v>
          </cell>
          <cell r="CL159">
            <v>-0.39</v>
          </cell>
          <cell r="CM159">
            <v>-0.39</v>
          </cell>
          <cell r="CN159">
            <v>-0.39</v>
          </cell>
          <cell r="CO159">
            <v>-0.39</v>
          </cell>
          <cell r="CP159">
            <v>-0.39</v>
          </cell>
          <cell r="CQ159">
            <v>-0.39</v>
          </cell>
          <cell r="CR159">
            <v>-0.39</v>
          </cell>
          <cell r="CS159">
            <v>-0.39</v>
          </cell>
          <cell r="CT159">
            <v>-0.39</v>
          </cell>
          <cell r="CU159">
            <v>-0.39</v>
          </cell>
          <cell r="CV159">
            <v>-0.39</v>
          </cell>
          <cell r="CW159">
            <v>-0.39</v>
          </cell>
          <cell r="CX159">
            <v>-0.39</v>
          </cell>
          <cell r="CY159">
            <v>-0.39</v>
          </cell>
          <cell r="CZ159">
            <v>-0.39</v>
          </cell>
          <cell r="DA159">
            <v>-0.39</v>
          </cell>
          <cell r="DB159">
            <v>-0.39</v>
          </cell>
          <cell r="DC159">
            <v>-0.39</v>
          </cell>
          <cell r="DD159">
            <v>-0.39</v>
          </cell>
          <cell r="DE159">
            <v>-0.39</v>
          </cell>
          <cell r="DF159">
            <v>-0.39</v>
          </cell>
          <cell r="DG159">
            <v>-0.39</v>
          </cell>
          <cell r="DH159">
            <v>-0.39</v>
          </cell>
        </row>
        <row r="160">
          <cell r="A160" t="str">
            <v>1900407</v>
          </cell>
          <cell r="B160" t="str">
            <v>1900407</v>
          </cell>
          <cell r="C160" t="str">
            <v>Defd SIT FAS133 Int</v>
          </cell>
          <cell r="D160">
            <v>163800</v>
          </cell>
          <cell r="E160">
            <v>161793.5</v>
          </cell>
          <cell r="F160">
            <v>159786.99</v>
          </cell>
          <cell r="G160">
            <v>157780.48000000001</v>
          </cell>
          <cell r="H160">
            <v>155642.87</v>
          </cell>
          <cell r="I160">
            <v>154336.24</v>
          </cell>
          <cell r="J160">
            <v>152328.15</v>
          </cell>
          <cell r="K160">
            <v>150320.06</v>
          </cell>
          <cell r="L160">
            <v>148311.97</v>
          </cell>
          <cell r="M160">
            <v>146303.88</v>
          </cell>
          <cell r="N160">
            <v>144295.79</v>
          </cell>
          <cell r="O160">
            <v>142287.70000000001</v>
          </cell>
          <cell r="P160">
            <v>140279.60999999999</v>
          </cell>
          <cell r="Q160">
            <v>138271.51999999999</v>
          </cell>
          <cell r="R160">
            <v>136263.43</v>
          </cell>
          <cell r="S160">
            <v>132741.51999999999</v>
          </cell>
          <cell r="T160">
            <v>121918.91</v>
          </cell>
          <cell r="U160">
            <v>111151.96</v>
          </cell>
          <cell r="V160">
            <v>109196.89</v>
          </cell>
          <cell r="W160">
            <v>107241.82</v>
          </cell>
          <cell r="X160">
            <v>105286.75</v>
          </cell>
          <cell r="Y160">
            <v>103331.68</v>
          </cell>
          <cell r="Z160">
            <v>101376.61</v>
          </cell>
          <cell r="AA160">
            <v>99421.54</v>
          </cell>
          <cell r="AB160">
            <v>97466.47</v>
          </cell>
          <cell r="AC160">
            <v>95511.4</v>
          </cell>
          <cell r="AD160">
            <v>93556.33</v>
          </cell>
          <cell r="AE160">
            <v>91601.26</v>
          </cell>
          <cell r="AF160">
            <v>89646.2</v>
          </cell>
          <cell r="AG160">
            <v>87691.13</v>
          </cell>
          <cell r="AH160">
            <v>85736.06</v>
          </cell>
          <cell r="AI160">
            <v>83780.990000000005</v>
          </cell>
          <cell r="AJ160">
            <v>81825.919999999998</v>
          </cell>
          <cell r="AK160">
            <v>79870.850000000006</v>
          </cell>
          <cell r="AL160">
            <v>77915.78</v>
          </cell>
          <cell r="AM160">
            <v>75960.710000000006</v>
          </cell>
          <cell r="AN160">
            <v>74005.64</v>
          </cell>
          <cell r="AO160">
            <v>72050.570000000007</v>
          </cell>
          <cell r="AP160">
            <v>70095.5</v>
          </cell>
          <cell r="AQ160">
            <v>68140.429999999993</v>
          </cell>
          <cell r="AR160">
            <v>66185.36</v>
          </cell>
          <cell r="AS160">
            <v>64230.29</v>
          </cell>
          <cell r="AT160">
            <v>62275.22</v>
          </cell>
          <cell r="AU160">
            <v>60320.15</v>
          </cell>
          <cell r="AV160">
            <v>58365.08</v>
          </cell>
          <cell r="AW160">
            <v>56410.01</v>
          </cell>
          <cell r="AX160">
            <v>54454.94</v>
          </cell>
          <cell r="AY160">
            <v>52499.87</v>
          </cell>
          <cell r="AZ160">
            <v>50544.800000000003</v>
          </cell>
          <cell r="BA160">
            <v>48589.73</v>
          </cell>
          <cell r="BB160">
            <v>46634.66</v>
          </cell>
          <cell r="BC160">
            <v>44679.59</v>
          </cell>
          <cell r="BD160">
            <v>42724.52</v>
          </cell>
          <cell r="BE160">
            <v>41671.4</v>
          </cell>
          <cell r="BF160">
            <v>41520.21</v>
          </cell>
          <cell r="BG160">
            <v>41369.01</v>
          </cell>
          <cell r="BH160">
            <v>41217.82</v>
          </cell>
          <cell r="BI160">
            <v>41066.629999999997</v>
          </cell>
          <cell r="BJ160">
            <v>40915.440000000002</v>
          </cell>
          <cell r="BK160">
            <v>40764.25</v>
          </cell>
          <cell r="BL160">
            <v>40613.06</v>
          </cell>
          <cell r="BM160">
            <v>40461.870000000003</v>
          </cell>
          <cell r="BN160">
            <v>40310.68</v>
          </cell>
          <cell r="BO160">
            <v>40159.480000000003</v>
          </cell>
          <cell r="BP160">
            <v>40008.29</v>
          </cell>
          <cell r="BQ160">
            <v>39857.1</v>
          </cell>
          <cell r="BR160">
            <v>39705.910000000003</v>
          </cell>
          <cell r="BS160">
            <v>39554.720000000001</v>
          </cell>
          <cell r="BT160">
            <v>39403.53</v>
          </cell>
          <cell r="BU160">
            <v>39252.33</v>
          </cell>
          <cell r="BV160">
            <v>39101.14</v>
          </cell>
          <cell r="BW160">
            <v>38949.949999999997</v>
          </cell>
          <cell r="BX160">
            <v>38798.76</v>
          </cell>
          <cell r="BY160">
            <v>38647.57</v>
          </cell>
          <cell r="BZ160">
            <v>38496.379999999997</v>
          </cell>
          <cell r="CA160">
            <v>38345.18</v>
          </cell>
          <cell r="CB160">
            <v>38193.99</v>
          </cell>
          <cell r="CC160">
            <v>38042.800000000003</v>
          </cell>
          <cell r="CD160">
            <v>37891.61</v>
          </cell>
          <cell r="CE160">
            <v>37740.42</v>
          </cell>
          <cell r="CF160">
            <v>37589.230000000003</v>
          </cell>
          <cell r="CG160">
            <v>37438.03</v>
          </cell>
          <cell r="CH160">
            <v>37286.839999999997</v>
          </cell>
          <cell r="CI160">
            <v>37135.65</v>
          </cell>
          <cell r="CJ160">
            <v>36984.46</v>
          </cell>
          <cell r="CK160">
            <v>36833.269999999997</v>
          </cell>
          <cell r="CL160">
            <v>36682.080000000002</v>
          </cell>
          <cell r="CM160">
            <v>36530.879999999997</v>
          </cell>
          <cell r="CN160">
            <v>36379.69</v>
          </cell>
          <cell r="CO160">
            <v>36228.5</v>
          </cell>
          <cell r="CP160">
            <v>36077.31</v>
          </cell>
          <cell r="CQ160">
            <v>35926.120000000003</v>
          </cell>
          <cell r="CR160">
            <v>35774.93</v>
          </cell>
          <cell r="CS160">
            <v>35623.730000000003</v>
          </cell>
          <cell r="CT160">
            <v>35472.54</v>
          </cell>
          <cell r="CU160">
            <v>35321.35</v>
          </cell>
          <cell r="CV160">
            <v>35170.160000000003</v>
          </cell>
          <cell r="CW160">
            <v>35018.97</v>
          </cell>
          <cell r="CX160">
            <v>34867.78</v>
          </cell>
          <cell r="CY160">
            <v>34716.58</v>
          </cell>
          <cell r="CZ160">
            <v>34565.39</v>
          </cell>
          <cell r="DA160">
            <v>34414.199999999997</v>
          </cell>
          <cell r="DB160">
            <v>34263.01</v>
          </cell>
          <cell r="DC160">
            <v>34111.82</v>
          </cell>
          <cell r="DD160">
            <v>33960.629999999997</v>
          </cell>
          <cell r="DE160">
            <v>33809.43</v>
          </cell>
          <cell r="DF160">
            <v>33658.239999999998</v>
          </cell>
          <cell r="DG160">
            <v>33507.050000000003</v>
          </cell>
          <cell r="DH160">
            <v>33355.86</v>
          </cell>
        </row>
        <row r="161">
          <cell r="A161" t="str">
            <v>1900408</v>
          </cell>
          <cell r="B161" t="str">
            <v>1900408</v>
          </cell>
          <cell r="C161" t="str">
            <v>Defd SIT FAS158</v>
          </cell>
          <cell r="D161">
            <v>950350.38</v>
          </cell>
          <cell r="E161">
            <v>950350.38</v>
          </cell>
          <cell r="F161">
            <v>950350.38</v>
          </cell>
          <cell r="G161">
            <v>929445.33</v>
          </cell>
          <cell r="H161">
            <v>929445.33</v>
          </cell>
          <cell r="I161">
            <v>929445.33</v>
          </cell>
          <cell r="J161">
            <v>907928.77</v>
          </cell>
          <cell r="K161">
            <v>907928.77</v>
          </cell>
          <cell r="L161">
            <v>907928.77</v>
          </cell>
          <cell r="M161">
            <v>896588.37</v>
          </cell>
          <cell r="N161">
            <v>896588.37</v>
          </cell>
          <cell r="O161">
            <v>896588.37</v>
          </cell>
          <cell r="P161">
            <v>1063261.7</v>
          </cell>
          <cell r="Q161">
            <v>1063261.7</v>
          </cell>
          <cell r="R161">
            <v>1063261.7</v>
          </cell>
          <cell r="S161">
            <v>1083207.22</v>
          </cell>
          <cell r="T161">
            <v>1083207.22</v>
          </cell>
          <cell r="U161">
            <v>1083207.22</v>
          </cell>
          <cell r="V161">
            <v>1017713.34</v>
          </cell>
          <cell r="W161">
            <v>1017713.34</v>
          </cell>
          <cell r="X161">
            <v>1000854.58</v>
          </cell>
          <cell r="Y161">
            <v>978080.34</v>
          </cell>
          <cell r="Z161">
            <v>978080.34</v>
          </cell>
          <cell r="AA161">
            <v>978080.34</v>
          </cell>
          <cell r="AB161">
            <v>1381063.69</v>
          </cell>
          <cell r="AC161">
            <v>1381063.69</v>
          </cell>
          <cell r="AD161">
            <v>1381063.69</v>
          </cell>
          <cell r="AE161">
            <v>1361603.7</v>
          </cell>
          <cell r="AF161">
            <v>1361603.7</v>
          </cell>
          <cell r="AG161">
            <v>1362113.83</v>
          </cell>
          <cell r="AH161">
            <v>1336162.52</v>
          </cell>
          <cell r="AI161">
            <v>1336162.52</v>
          </cell>
          <cell r="AJ161">
            <v>1336162.52</v>
          </cell>
          <cell r="AK161">
            <v>1800409.1</v>
          </cell>
          <cell r="AL161">
            <v>1800409.1</v>
          </cell>
          <cell r="AM161">
            <v>1800409.1</v>
          </cell>
          <cell r="AN161">
            <v>1558133.78</v>
          </cell>
          <cell r="AO161">
            <v>1558133.78</v>
          </cell>
          <cell r="AP161">
            <v>1558133.78</v>
          </cell>
          <cell r="AQ161">
            <v>1534838.69</v>
          </cell>
          <cell r="AR161">
            <v>1534838.69</v>
          </cell>
          <cell r="AS161">
            <v>1534838.69</v>
          </cell>
          <cell r="AT161">
            <v>1576930.85</v>
          </cell>
          <cell r="AU161">
            <v>1576930.85</v>
          </cell>
          <cell r="AV161">
            <v>1576930.85</v>
          </cell>
          <cell r="AW161">
            <v>1551656.86</v>
          </cell>
          <cell r="AX161">
            <v>1551656.86</v>
          </cell>
          <cell r="AY161">
            <v>1551656.86</v>
          </cell>
          <cell r="AZ161">
            <v>1445718.72</v>
          </cell>
          <cell r="BA161">
            <v>1445718.72</v>
          </cell>
          <cell r="BB161">
            <v>1445718.72</v>
          </cell>
          <cell r="BC161">
            <v>1419144.98</v>
          </cell>
          <cell r="BD161">
            <v>1419144.98</v>
          </cell>
          <cell r="BE161">
            <v>1419144.98</v>
          </cell>
          <cell r="BF161">
            <v>1389559.47</v>
          </cell>
          <cell r="BG161">
            <v>1389559.47</v>
          </cell>
          <cell r="BH161">
            <v>1389559.47</v>
          </cell>
          <cell r="BI161">
            <v>1362761.05</v>
          </cell>
          <cell r="BJ161">
            <v>1362761.05</v>
          </cell>
          <cell r="BK161">
            <v>1362761.05</v>
          </cell>
          <cell r="BL161">
            <v>1690554.69</v>
          </cell>
          <cell r="BM161">
            <v>1690554.69</v>
          </cell>
          <cell r="BN161">
            <v>1690554.69</v>
          </cell>
          <cell r="BO161">
            <v>1668742.19</v>
          </cell>
          <cell r="BP161">
            <v>1668742.19</v>
          </cell>
          <cell r="BQ161">
            <v>1668742.19</v>
          </cell>
          <cell r="BR161">
            <v>1644821.03</v>
          </cell>
          <cell r="BS161">
            <v>1644821.03</v>
          </cell>
          <cell r="BT161">
            <v>1644821.03</v>
          </cell>
          <cell r="BU161">
            <v>1621954.17</v>
          </cell>
          <cell r="BV161">
            <v>1621954.17</v>
          </cell>
          <cell r="BW161">
            <v>1621954.17</v>
          </cell>
          <cell r="BX161">
            <v>1633781.48</v>
          </cell>
          <cell r="BY161">
            <v>1633781.48</v>
          </cell>
          <cell r="BZ161">
            <v>1633781.48</v>
          </cell>
          <cell r="CA161">
            <v>1605185.21</v>
          </cell>
          <cell r="CB161">
            <v>1605185.21</v>
          </cell>
          <cell r="CC161">
            <v>1605185.21</v>
          </cell>
          <cell r="CD161">
            <v>1575000.39</v>
          </cell>
          <cell r="CE161">
            <v>1575000.39</v>
          </cell>
          <cell r="CF161">
            <v>1575000.39</v>
          </cell>
          <cell r="CG161">
            <v>1545609.82</v>
          </cell>
          <cell r="CH161">
            <v>1545609.82</v>
          </cell>
          <cell r="CI161">
            <v>1545609.82</v>
          </cell>
          <cell r="CJ161">
            <v>1888253.51</v>
          </cell>
          <cell r="CK161">
            <v>1888253.51</v>
          </cell>
          <cell r="CL161">
            <v>1888253.51</v>
          </cell>
          <cell r="CM161">
            <v>1849978.39</v>
          </cell>
          <cell r="CN161">
            <v>1849978.39</v>
          </cell>
          <cell r="CO161">
            <v>1849978.39</v>
          </cell>
          <cell r="CP161">
            <v>1811703.3</v>
          </cell>
          <cell r="CQ161">
            <v>1811703.3</v>
          </cell>
          <cell r="CR161">
            <v>1811703.3</v>
          </cell>
          <cell r="CS161">
            <v>1752318.47</v>
          </cell>
          <cell r="CT161">
            <v>1752318.47</v>
          </cell>
          <cell r="CU161">
            <v>1752318.47</v>
          </cell>
          <cell r="CV161">
            <v>1400125.04</v>
          </cell>
          <cell r="CW161">
            <v>1400125.04</v>
          </cell>
          <cell r="CX161">
            <v>1400125.04</v>
          </cell>
          <cell r="CY161">
            <v>1369637.21</v>
          </cell>
          <cell r="CZ161">
            <v>1369637.21</v>
          </cell>
          <cell r="DA161">
            <v>1369637.21</v>
          </cell>
          <cell r="DB161">
            <v>1275702.7</v>
          </cell>
          <cell r="DC161">
            <v>1275702.7</v>
          </cell>
          <cell r="DD161">
            <v>1275702.7</v>
          </cell>
          <cell r="DE161">
            <v>1244934.6200000001</v>
          </cell>
          <cell r="DF161">
            <v>1244934.6200000001</v>
          </cell>
          <cell r="DG161">
            <v>1244934.6200000001</v>
          </cell>
          <cell r="DH161">
            <v>1661619.46</v>
          </cell>
        </row>
        <row r="162">
          <cell r="A162" t="str">
            <v>1900409</v>
          </cell>
          <cell r="B162" t="str">
            <v>1900409</v>
          </cell>
          <cell r="C162" t="str">
            <v>Defd SIT FAS158 MedD</v>
          </cell>
          <cell r="D162">
            <v>5320</v>
          </cell>
          <cell r="E162">
            <v>5320</v>
          </cell>
          <cell r="F162">
            <v>5320</v>
          </cell>
          <cell r="G162">
            <v>5320</v>
          </cell>
          <cell r="H162">
            <v>5320</v>
          </cell>
          <cell r="I162">
            <v>5320</v>
          </cell>
          <cell r="J162">
            <v>5320</v>
          </cell>
          <cell r="K162">
            <v>5320</v>
          </cell>
          <cell r="L162">
            <v>5320</v>
          </cell>
          <cell r="M162">
            <v>5320</v>
          </cell>
          <cell r="N162">
            <v>5320</v>
          </cell>
          <cell r="O162">
            <v>5320</v>
          </cell>
          <cell r="P162">
            <v>5320</v>
          </cell>
          <cell r="Q162">
            <v>5320</v>
          </cell>
          <cell r="R162">
            <v>5320</v>
          </cell>
          <cell r="S162">
            <v>5320</v>
          </cell>
          <cell r="T162">
            <v>5320</v>
          </cell>
          <cell r="U162">
            <v>5320</v>
          </cell>
          <cell r="V162">
            <v>5320</v>
          </cell>
          <cell r="W162">
            <v>5320</v>
          </cell>
          <cell r="X162">
            <v>5320</v>
          </cell>
          <cell r="Y162">
            <v>5320</v>
          </cell>
          <cell r="Z162">
            <v>5320</v>
          </cell>
          <cell r="AA162">
            <v>5320</v>
          </cell>
          <cell r="AB162">
            <v>5320</v>
          </cell>
          <cell r="AC162">
            <v>5320</v>
          </cell>
          <cell r="AD162">
            <v>5320</v>
          </cell>
          <cell r="AE162">
            <v>5320</v>
          </cell>
          <cell r="AF162">
            <v>5320</v>
          </cell>
          <cell r="AG162">
            <v>5320</v>
          </cell>
          <cell r="AH162">
            <v>5320</v>
          </cell>
          <cell r="AI162">
            <v>5320</v>
          </cell>
          <cell r="AJ162">
            <v>5320</v>
          </cell>
          <cell r="AK162">
            <v>5320</v>
          </cell>
          <cell r="AL162">
            <v>5320</v>
          </cell>
          <cell r="AM162">
            <v>5320</v>
          </cell>
          <cell r="AN162">
            <v>5320</v>
          </cell>
          <cell r="AO162">
            <v>5320</v>
          </cell>
          <cell r="AP162">
            <v>5320</v>
          </cell>
          <cell r="AQ162">
            <v>5320</v>
          </cell>
          <cell r="AR162">
            <v>5320</v>
          </cell>
          <cell r="AS162">
            <v>5320</v>
          </cell>
          <cell r="AT162">
            <v>5320</v>
          </cell>
          <cell r="AU162">
            <v>5320</v>
          </cell>
          <cell r="AV162">
            <v>5320</v>
          </cell>
          <cell r="AW162">
            <v>5320</v>
          </cell>
          <cell r="AX162">
            <v>5320</v>
          </cell>
          <cell r="AY162">
            <v>5320</v>
          </cell>
          <cell r="AZ162">
            <v>5320</v>
          </cell>
          <cell r="BA162">
            <v>5320</v>
          </cell>
          <cell r="BB162">
            <v>5320</v>
          </cell>
          <cell r="BC162">
            <v>5320</v>
          </cell>
          <cell r="BD162">
            <v>5320</v>
          </cell>
          <cell r="BE162">
            <v>5320</v>
          </cell>
          <cell r="BF162">
            <v>5320</v>
          </cell>
          <cell r="BG162">
            <v>5320</v>
          </cell>
          <cell r="BH162">
            <v>5320</v>
          </cell>
          <cell r="BI162">
            <v>5320</v>
          </cell>
          <cell r="BJ162">
            <v>5320</v>
          </cell>
          <cell r="BK162">
            <v>5320</v>
          </cell>
          <cell r="BL162">
            <v>5320</v>
          </cell>
          <cell r="BM162">
            <v>5320</v>
          </cell>
          <cell r="BN162">
            <v>5320</v>
          </cell>
          <cell r="BO162">
            <v>5320</v>
          </cell>
          <cell r="BP162">
            <v>5320</v>
          </cell>
          <cell r="BQ162">
            <v>5320</v>
          </cell>
          <cell r="BR162">
            <v>5320</v>
          </cell>
          <cell r="BS162">
            <v>5320</v>
          </cell>
          <cell r="BT162">
            <v>5320</v>
          </cell>
          <cell r="BU162">
            <v>5320</v>
          </cell>
          <cell r="BV162">
            <v>5320</v>
          </cell>
          <cell r="BW162">
            <v>5320</v>
          </cell>
          <cell r="BX162">
            <v>5320</v>
          </cell>
          <cell r="BY162">
            <v>5320</v>
          </cell>
          <cell r="BZ162">
            <v>5320</v>
          </cell>
          <cell r="CA162">
            <v>5320</v>
          </cell>
          <cell r="CB162">
            <v>5320</v>
          </cell>
          <cell r="CC162">
            <v>5320</v>
          </cell>
          <cell r="CD162">
            <v>5320</v>
          </cell>
          <cell r="CE162">
            <v>5320</v>
          </cell>
          <cell r="CF162">
            <v>5320</v>
          </cell>
          <cell r="CG162">
            <v>5320</v>
          </cell>
          <cell r="CH162">
            <v>5320</v>
          </cell>
          <cell r="CI162">
            <v>5320</v>
          </cell>
          <cell r="CJ162">
            <v>5320</v>
          </cell>
          <cell r="CK162">
            <v>5320</v>
          </cell>
          <cell r="CL162">
            <v>5320</v>
          </cell>
          <cell r="CM162">
            <v>5320</v>
          </cell>
          <cell r="CN162">
            <v>5320</v>
          </cell>
          <cell r="CO162">
            <v>5320</v>
          </cell>
          <cell r="CP162">
            <v>5320</v>
          </cell>
          <cell r="CQ162">
            <v>5320</v>
          </cell>
          <cell r="CR162">
            <v>5320</v>
          </cell>
          <cell r="CS162">
            <v>5320</v>
          </cell>
          <cell r="CT162">
            <v>5320</v>
          </cell>
          <cell r="CU162">
            <v>5320</v>
          </cell>
          <cell r="CV162">
            <v>5320</v>
          </cell>
          <cell r="CW162">
            <v>5320</v>
          </cell>
          <cell r="CX162">
            <v>5320</v>
          </cell>
          <cell r="CY162">
            <v>5320</v>
          </cell>
          <cell r="CZ162">
            <v>5320</v>
          </cell>
          <cell r="DA162">
            <v>5320</v>
          </cell>
          <cell r="DB162">
            <v>5320</v>
          </cell>
          <cell r="DC162">
            <v>5320</v>
          </cell>
          <cell r="DD162">
            <v>5320</v>
          </cell>
          <cell r="DE162">
            <v>5320</v>
          </cell>
          <cell r="DF162">
            <v>5320</v>
          </cell>
          <cell r="DG162">
            <v>5320</v>
          </cell>
          <cell r="DH162">
            <v>5320</v>
          </cell>
        </row>
        <row r="163">
          <cell r="A163" t="str">
            <v>1900410</v>
          </cell>
          <cell r="B163" t="str">
            <v>1900410</v>
          </cell>
          <cell r="C163" t="str">
            <v>Defd SIT Credits</v>
          </cell>
          <cell r="AF163">
            <v>786467</v>
          </cell>
          <cell r="AG163">
            <v>786467</v>
          </cell>
          <cell r="AH163">
            <v>511203.55</v>
          </cell>
          <cell r="AI163">
            <v>511203.55</v>
          </cell>
          <cell r="AJ163">
            <v>511203.55</v>
          </cell>
          <cell r="AK163">
            <v>511203.55</v>
          </cell>
          <cell r="AL163">
            <v>511203.55</v>
          </cell>
          <cell r="AM163">
            <v>511203.55</v>
          </cell>
          <cell r="AN163">
            <v>511203.55</v>
          </cell>
          <cell r="AO163">
            <v>511203.55</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row>
        <row r="164">
          <cell r="A164" t="str">
            <v>1900600</v>
          </cell>
          <cell r="B164" t="str">
            <v>1900600</v>
          </cell>
          <cell r="C164" t="str">
            <v>Defd Tax ValAllw</v>
          </cell>
          <cell r="AF164">
            <v>0</v>
          </cell>
          <cell r="AG164">
            <v>0</v>
          </cell>
          <cell r="AH164">
            <v>-61344.4</v>
          </cell>
          <cell r="AI164">
            <v>-61344.4</v>
          </cell>
          <cell r="AJ164">
            <v>-61344.4</v>
          </cell>
          <cell r="AK164">
            <v>-61344.4</v>
          </cell>
          <cell r="AL164">
            <v>-61344.4</v>
          </cell>
          <cell r="AM164">
            <v>-61344.4</v>
          </cell>
          <cell r="AN164">
            <v>-61344.4</v>
          </cell>
          <cell r="AO164">
            <v>-61344.4</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row>
        <row r="165">
          <cell r="A165" t="str">
            <v>1910100</v>
          </cell>
          <cell r="B165" t="str">
            <v>1910100</v>
          </cell>
          <cell r="C165" t="str">
            <v>Unrcv PurcGas Cst C</v>
          </cell>
          <cell r="D165">
            <v>-96106223.920000002</v>
          </cell>
          <cell r="E165">
            <v>-96394532.439999998</v>
          </cell>
          <cell r="F165">
            <v>-99828320.439999998</v>
          </cell>
          <cell r="G165">
            <v>-98512647.439999998</v>
          </cell>
          <cell r="H165">
            <v>-100061166.2</v>
          </cell>
          <cell r="I165">
            <v>-97764840.200000003</v>
          </cell>
          <cell r="J165">
            <v>-99400115.129999995</v>
          </cell>
          <cell r="K165">
            <v>-100056751.18000001</v>
          </cell>
          <cell r="L165">
            <v>-100443908.18000001</v>
          </cell>
          <cell r="M165">
            <v>-100322514.18000001</v>
          </cell>
          <cell r="N165">
            <v>-98457434.180000007</v>
          </cell>
          <cell r="O165">
            <v>-93170295.180000007</v>
          </cell>
          <cell r="P165">
            <v>-95671733.079999998</v>
          </cell>
          <cell r="Q165">
            <v>-97818951.079999998</v>
          </cell>
          <cell r="R165">
            <v>-98769599.079999998</v>
          </cell>
          <cell r="S165">
            <v>-101256492.08</v>
          </cell>
          <cell r="T165">
            <v>-100332145.08</v>
          </cell>
          <cell r="U165">
            <v>-100412482.08</v>
          </cell>
          <cell r="V165">
            <v>-103136454.08</v>
          </cell>
          <cell r="W165">
            <v>-102453662.08</v>
          </cell>
          <cell r="X165">
            <v>-103265220.08</v>
          </cell>
          <cell r="Y165">
            <v>-103307102.08</v>
          </cell>
          <cell r="Z165">
            <v>-101491686.08</v>
          </cell>
          <cell r="AA165">
            <v>-100274678.08</v>
          </cell>
          <cell r="AB165">
            <v>-101425799.06999999</v>
          </cell>
          <cell r="AC165">
            <v>-104182998.06999999</v>
          </cell>
          <cell r="AD165">
            <v>-110531518.27</v>
          </cell>
          <cell r="AE165">
            <v>-113125774.27</v>
          </cell>
          <cell r="AF165">
            <v>-114438345.27</v>
          </cell>
          <cell r="AG165">
            <v>-116374299.27</v>
          </cell>
          <cell r="AH165">
            <v>-118691714.27</v>
          </cell>
          <cell r="AI165">
            <v>-119986027.59999999</v>
          </cell>
          <cell r="AJ165">
            <v>-120886961.59999999</v>
          </cell>
          <cell r="AK165">
            <v>-120415701.59999999</v>
          </cell>
          <cell r="AL165">
            <v>-117749437.59999999</v>
          </cell>
          <cell r="AM165">
            <v>-115012916.59999999</v>
          </cell>
          <cell r="AN165">
            <v>-114552574.54000001</v>
          </cell>
          <cell r="AO165">
            <v>-114567801.54000001</v>
          </cell>
          <cell r="AP165">
            <v>-117692525.55</v>
          </cell>
          <cell r="AQ165">
            <v>-114430444.55</v>
          </cell>
          <cell r="AR165">
            <v>-115333953.55</v>
          </cell>
          <cell r="AS165">
            <v>-115302898.55</v>
          </cell>
          <cell r="AT165">
            <v>-114351282.55</v>
          </cell>
          <cell r="AU165">
            <v>-113167939.91</v>
          </cell>
          <cell r="AV165">
            <v>-111983976.91</v>
          </cell>
          <cell r="AW165">
            <v>-113177314.91</v>
          </cell>
          <cell r="AX165">
            <v>-109761241.91</v>
          </cell>
          <cell r="AY165">
            <v>-108607491.91</v>
          </cell>
          <cell r="AZ165">
            <v>-109278934.06999999</v>
          </cell>
          <cell r="BA165">
            <v>-114575765.06999999</v>
          </cell>
          <cell r="BB165">
            <v>-120659536.06999999</v>
          </cell>
          <cell r="BC165">
            <v>-118040921.06999999</v>
          </cell>
          <cell r="BD165">
            <v>-121708933.06999999</v>
          </cell>
          <cell r="BE165">
            <v>-121584129.06999999</v>
          </cell>
          <cell r="BF165">
            <v>-122137109.06999999</v>
          </cell>
          <cell r="BG165">
            <v>-122271981.34</v>
          </cell>
          <cell r="BH165">
            <v>-121868162.34</v>
          </cell>
          <cell r="BI165">
            <v>-122380938.34</v>
          </cell>
          <cell r="BJ165">
            <v>-119323885.39</v>
          </cell>
          <cell r="BK165">
            <v>-112994846.39</v>
          </cell>
          <cell r="BL165">
            <v>-109747687.8</v>
          </cell>
          <cell r="BM165">
            <v>-111530054.95</v>
          </cell>
          <cell r="BN165">
            <v>-114924164.95</v>
          </cell>
          <cell r="BO165">
            <v>-115966382.95</v>
          </cell>
          <cell r="BP165">
            <v>-118894174.95</v>
          </cell>
          <cell r="BQ165">
            <v>-121312929.95</v>
          </cell>
          <cell r="BR165">
            <v>-122461259.95</v>
          </cell>
          <cell r="BS165">
            <v>-122621523.95</v>
          </cell>
          <cell r="BT165">
            <v>-121061920.95</v>
          </cell>
          <cell r="BU165">
            <v>-121615677.61</v>
          </cell>
          <cell r="BV165">
            <v>-118995406.61</v>
          </cell>
          <cell r="BW165">
            <v>-116667471.61</v>
          </cell>
          <cell r="BX165">
            <v>-117770364.61</v>
          </cell>
          <cell r="BY165">
            <v>-121160462.61</v>
          </cell>
          <cell r="BZ165">
            <v>-124245125.78</v>
          </cell>
          <cell r="CA165">
            <v>-125475141.78</v>
          </cell>
          <cell r="CB165">
            <v>-126115777.78</v>
          </cell>
          <cell r="CC165">
            <v>-125579668.78</v>
          </cell>
          <cell r="CD165">
            <v>-126229763.78</v>
          </cell>
          <cell r="CE165">
            <v>-125646219.78</v>
          </cell>
          <cell r="CF165">
            <v>-123137797.78</v>
          </cell>
          <cell r="CG165">
            <v>-122343773.94</v>
          </cell>
          <cell r="CH165">
            <v>-118327958.94</v>
          </cell>
          <cell r="CI165">
            <v>-114832209.13</v>
          </cell>
          <cell r="CJ165">
            <v>-114047246.16</v>
          </cell>
          <cell r="CK165">
            <v>-117674224.16</v>
          </cell>
          <cell r="CL165">
            <v>-115144037.5</v>
          </cell>
          <cell r="CM165">
            <v>-113837467.5</v>
          </cell>
          <cell r="CN165">
            <v>-117659334.5</v>
          </cell>
          <cell r="CO165">
            <v>-118055349.5</v>
          </cell>
          <cell r="CP165">
            <v>-117314832.5</v>
          </cell>
          <cell r="CQ165">
            <v>-117625812.5</v>
          </cell>
          <cell r="CR165">
            <v>-116615187.5</v>
          </cell>
          <cell r="CS165">
            <v>-115139066.68000001</v>
          </cell>
          <cell r="CT165">
            <v>-107422458.68000001</v>
          </cell>
          <cell r="CU165">
            <v>-99629730.189999998</v>
          </cell>
          <cell r="CV165">
            <v>-100110911.19</v>
          </cell>
          <cell r="CW165">
            <v>-104672602.19</v>
          </cell>
          <cell r="CX165">
            <v>-110039088.2</v>
          </cell>
          <cell r="CY165">
            <v>-109475913.64</v>
          </cell>
          <cell r="CZ165">
            <v>-114118512.94</v>
          </cell>
          <cell r="DA165">
            <v>-112536098.94</v>
          </cell>
          <cell r="DB165">
            <v>-112835867.94</v>
          </cell>
          <cell r="DC165">
            <v>-113597568.94</v>
          </cell>
          <cell r="DD165">
            <v>-117167764.39</v>
          </cell>
          <cell r="DE165">
            <v>-122367926.56</v>
          </cell>
          <cell r="DF165">
            <v>-125506772.56</v>
          </cell>
          <cell r="DG165">
            <v>-115559908.56</v>
          </cell>
          <cell r="DH165">
            <v>-110077972.56</v>
          </cell>
        </row>
        <row r="166">
          <cell r="A166" t="str">
            <v>1910110</v>
          </cell>
          <cell r="B166" t="str">
            <v>1910110</v>
          </cell>
          <cell r="C166" t="str">
            <v>PurchGas Drv Stld C</v>
          </cell>
          <cell r="D166">
            <v>99135200.140000001</v>
          </cell>
          <cell r="E166">
            <v>98722850.140000001</v>
          </cell>
          <cell r="F166">
            <v>97137940.140000001</v>
          </cell>
          <cell r="G166">
            <v>96641460.140000001</v>
          </cell>
          <cell r="H166">
            <v>96235685.140000001</v>
          </cell>
          <cell r="I166">
            <v>95893455.140000001</v>
          </cell>
          <cell r="J166">
            <v>95668535.140000001</v>
          </cell>
          <cell r="K166">
            <v>95561065.140000001</v>
          </cell>
          <cell r="L166">
            <v>95758605.140000001</v>
          </cell>
          <cell r="M166">
            <v>95906895.140000001</v>
          </cell>
          <cell r="N166">
            <v>96030895.140000001</v>
          </cell>
          <cell r="O166">
            <v>96432405.140000001</v>
          </cell>
          <cell r="P166">
            <v>96494455.140000001</v>
          </cell>
          <cell r="Q166">
            <v>97819350.140000001</v>
          </cell>
          <cell r="R166">
            <v>99294180.140000001</v>
          </cell>
          <cell r="S166">
            <v>100140360.14</v>
          </cell>
          <cell r="T166">
            <v>100888430.14</v>
          </cell>
          <cell r="U166">
            <v>101465100.14</v>
          </cell>
          <cell r="V166">
            <v>101894990.14</v>
          </cell>
          <cell r="W166">
            <v>102347520.14</v>
          </cell>
          <cell r="X166">
            <v>102678190.14</v>
          </cell>
          <cell r="Y166">
            <v>103141990.14</v>
          </cell>
          <cell r="Z166">
            <v>103742890.14</v>
          </cell>
          <cell r="AA166">
            <v>104841160.14</v>
          </cell>
          <cell r="AB166">
            <v>106243330.14</v>
          </cell>
          <cell r="AC166">
            <v>108059660.14</v>
          </cell>
          <cell r="AD166">
            <v>109407050.14</v>
          </cell>
          <cell r="AE166">
            <v>110445060.14</v>
          </cell>
          <cell r="AF166">
            <v>111046550.14</v>
          </cell>
          <cell r="AG166">
            <v>111456145.14</v>
          </cell>
          <cell r="AH166">
            <v>111866685.14</v>
          </cell>
          <cell r="AI166">
            <v>111934325.14</v>
          </cell>
          <cell r="AJ166">
            <v>112064995.14</v>
          </cell>
          <cell r="AK166">
            <v>112131775.14</v>
          </cell>
          <cell r="AL166">
            <v>112203715.14</v>
          </cell>
          <cell r="AM166">
            <v>112354875.14</v>
          </cell>
          <cell r="AN166">
            <v>112375905.14</v>
          </cell>
          <cell r="AO166">
            <v>111925455.14</v>
          </cell>
          <cell r="AP166">
            <v>111887535.14</v>
          </cell>
          <cell r="AQ166">
            <v>112135590.14</v>
          </cell>
          <cell r="AR166">
            <v>112082620.14</v>
          </cell>
          <cell r="AS166">
            <v>112043480.14</v>
          </cell>
          <cell r="AT166">
            <v>112017500.14</v>
          </cell>
          <cell r="AU166">
            <v>112027580.14</v>
          </cell>
          <cell r="AV166">
            <v>112046830.14</v>
          </cell>
          <cell r="AW166">
            <v>112052030.14</v>
          </cell>
          <cell r="AX166">
            <v>112054680.14</v>
          </cell>
          <cell r="AY166">
            <v>112113300.14</v>
          </cell>
          <cell r="AZ166">
            <v>112113600.14</v>
          </cell>
          <cell r="BA166">
            <v>112191700.14</v>
          </cell>
          <cell r="BB166">
            <v>112113980.14</v>
          </cell>
          <cell r="BC166">
            <v>112172800.14</v>
          </cell>
          <cell r="BD166">
            <v>112185955.14</v>
          </cell>
          <cell r="BE166">
            <v>112183915.14</v>
          </cell>
          <cell r="BF166">
            <v>112183915.14</v>
          </cell>
          <cell r="BG166">
            <v>112177555.14</v>
          </cell>
          <cell r="BH166">
            <v>112179865.14</v>
          </cell>
          <cell r="BI166">
            <v>112178755.14</v>
          </cell>
          <cell r="BJ166">
            <v>112174515.14</v>
          </cell>
          <cell r="BK166">
            <v>112159865.14</v>
          </cell>
          <cell r="BL166">
            <v>112159865.14</v>
          </cell>
          <cell r="BM166">
            <v>112159865.14</v>
          </cell>
          <cell r="BN166">
            <v>112159865.14</v>
          </cell>
          <cell r="BO166">
            <v>112159865.14</v>
          </cell>
          <cell r="BP166">
            <v>112159865.14</v>
          </cell>
          <cell r="BQ166">
            <v>112159865.14</v>
          </cell>
          <cell r="BR166">
            <v>112159865.14</v>
          </cell>
          <cell r="BS166">
            <v>112159865.14</v>
          </cell>
          <cell r="BT166">
            <v>112159865.14</v>
          </cell>
          <cell r="BU166">
            <v>112159865.14</v>
          </cell>
          <cell r="BV166">
            <v>112159865.14</v>
          </cell>
          <cell r="BW166">
            <v>112159865.14</v>
          </cell>
          <cell r="BX166">
            <v>112159865.14</v>
          </cell>
          <cell r="BY166">
            <v>112159865.14</v>
          </cell>
          <cell r="BZ166">
            <v>112159865.14</v>
          </cell>
          <cell r="CA166">
            <v>112159865.14</v>
          </cell>
          <cell r="CB166">
            <v>112159865.14</v>
          </cell>
          <cell r="CC166">
            <v>112159865.14</v>
          </cell>
          <cell r="CD166">
            <v>112159865.14</v>
          </cell>
          <cell r="CE166">
            <v>112159865.14</v>
          </cell>
          <cell r="CF166">
            <v>112159865.14</v>
          </cell>
          <cell r="CG166">
            <v>112159865.14</v>
          </cell>
          <cell r="CH166">
            <v>112159865.14</v>
          </cell>
          <cell r="CI166">
            <v>112159865.14</v>
          </cell>
          <cell r="CJ166">
            <v>112159865.14</v>
          </cell>
          <cell r="CK166">
            <v>112159865.14</v>
          </cell>
          <cell r="CL166">
            <v>112159865.14</v>
          </cell>
          <cell r="CM166">
            <v>112159865.14</v>
          </cell>
          <cell r="CN166">
            <v>112159865.14</v>
          </cell>
          <cell r="CO166">
            <v>112159865.14</v>
          </cell>
          <cell r="CP166">
            <v>112159865.14</v>
          </cell>
          <cell r="CQ166">
            <v>112159865.14</v>
          </cell>
          <cell r="CR166">
            <v>112159865.14</v>
          </cell>
          <cell r="CS166">
            <v>112159865.14</v>
          </cell>
          <cell r="CT166">
            <v>112159865.14</v>
          </cell>
          <cell r="CU166">
            <v>112159865.14</v>
          </cell>
          <cell r="CV166">
            <v>112159865.14</v>
          </cell>
          <cell r="CW166">
            <v>112159865.14</v>
          </cell>
          <cell r="CX166">
            <v>112159865.14</v>
          </cell>
          <cell r="CY166">
            <v>112159865.14</v>
          </cell>
          <cell r="CZ166">
            <v>112159865.14</v>
          </cell>
          <cell r="DA166">
            <v>112159865.14</v>
          </cell>
          <cell r="DB166">
            <v>112159865.14</v>
          </cell>
          <cell r="DC166">
            <v>112159865.14</v>
          </cell>
          <cell r="DD166">
            <v>112159865.14</v>
          </cell>
          <cell r="DE166">
            <v>112159865.14</v>
          </cell>
          <cell r="DF166">
            <v>112159865.14</v>
          </cell>
          <cell r="DG166">
            <v>112159865.14</v>
          </cell>
          <cell r="DH166">
            <v>112159865.14</v>
          </cell>
        </row>
        <row r="167">
          <cell r="A167" t="str">
            <v>1910160</v>
          </cell>
          <cell r="B167" t="str">
            <v>1910160</v>
          </cell>
          <cell r="C167" t="str">
            <v>PurGasAdj Contra C</v>
          </cell>
          <cell r="D167">
            <v>0</v>
          </cell>
          <cell r="E167">
            <v>0</v>
          </cell>
          <cell r="F167">
            <v>2690380.3</v>
          </cell>
          <cell r="G167">
            <v>1871187.3</v>
          </cell>
          <cell r="H167">
            <v>3825481.06</v>
          </cell>
          <cell r="I167">
            <v>1871385.06</v>
          </cell>
          <cell r="J167">
            <v>3731579.99</v>
          </cell>
          <cell r="K167">
            <v>4495686.04</v>
          </cell>
          <cell r="L167">
            <v>4685303.04</v>
          </cell>
          <cell r="M167">
            <v>4415619.04</v>
          </cell>
          <cell r="N167">
            <v>2426539.04</v>
          </cell>
          <cell r="O167">
            <v>0</v>
          </cell>
          <cell r="P167">
            <v>0</v>
          </cell>
          <cell r="Q167">
            <v>0</v>
          </cell>
          <cell r="R167">
            <v>0</v>
          </cell>
          <cell r="S167">
            <v>1116132</v>
          </cell>
          <cell r="T167">
            <v>0</v>
          </cell>
          <cell r="U167">
            <v>0</v>
          </cell>
          <cell r="V167">
            <v>1241464</v>
          </cell>
          <cell r="W167">
            <v>106142</v>
          </cell>
          <cell r="X167">
            <v>587030</v>
          </cell>
          <cell r="Y167">
            <v>165112</v>
          </cell>
          <cell r="Z167">
            <v>0</v>
          </cell>
          <cell r="AA167">
            <v>0</v>
          </cell>
          <cell r="AB167">
            <v>0</v>
          </cell>
          <cell r="AC167">
            <v>0</v>
          </cell>
          <cell r="AD167">
            <v>1124468.1299999999</v>
          </cell>
          <cell r="AE167">
            <v>2680714.13</v>
          </cell>
          <cell r="AF167">
            <v>3391795.13</v>
          </cell>
          <cell r="AG167">
            <v>4918154.13</v>
          </cell>
          <cell r="AH167">
            <v>6825029.1299999999</v>
          </cell>
          <cell r="AI167">
            <v>8051702.46</v>
          </cell>
          <cell r="AJ167">
            <v>8821966.4600000009</v>
          </cell>
          <cell r="AK167">
            <v>8283926.46</v>
          </cell>
          <cell r="AL167">
            <v>5545722.46</v>
          </cell>
          <cell r="AM167">
            <v>2658041.46</v>
          </cell>
          <cell r="AN167">
            <v>2176669.4</v>
          </cell>
          <cell r="AO167">
            <v>2642346.4</v>
          </cell>
          <cell r="AP167">
            <v>5804990.4100000001</v>
          </cell>
          <cell r="AQ167">
            <v>2294854.41</v>
          </cell>
          <cell r="AR167">
            <v>3251333.41</v>
          </cell>
          <cell r="AS167">
            <v>3259418.41</v>
          </cell>
          <cell r="AT167">
            <v>2333782.41</v>
          </cell>
          <cell r="AU167">
            <v>1140359.77</v>
          </cell>
          <cell r="AV167">
            <v>0</v>
          </cell>
          <cell r="AW167">
            <v>1125284.77</v>
          </cell>
          <cell r="AX167">
            <v>0</v>
          </cell>
          <cell r="AY167">
            <v>0</v>
          </cell>
          <cell r="AZ167">
            <v>0</v>
          </cell>
          <cell r="BA167">
            <v>2384064.9300000002</v>
          </cell>
          <cell r="BB167">
            <v>8545555.9299999997</v>
          </cell>
          <cell r="BC167">
            <v>5868120.9299999997</v>
          </cell>
          <cell r="BD167">
            <v>9522977.9299999997</v>
          </cell>
          <cell r="BE167">
            <v>9400213.9299999997</v>
          </cell>
          <cell r="BF167">
            <v>9953193.9299999997</v>
          </cell>
          <cell r="BG167">
            <v>10094432.93</v>
          </cell>
          <cell r="BH167">
            <v>9688297.1999999993</v>
          </cell>
          <cell r="BI167">
            <v>10202183.199999999</v>
          </cell>
          <cell r="BJ167">
            <v>7149370.25</v>
          </cell>
          <cell r="BK167">
            <v>834981.25</v>
          </cell>
          <cell r="BL167">
            <v>0</v>
          </cell>
          <cell r="BM167">
            <v>0</v>
          </cell>
          <cell r="BN167">
            <v>2764299.81</v>
          </cell>
          <cell r="BO167">
            <v>3806517.81</v>
          </cell>
          <cell r="BP167">
            <v>6734309.8099999996</v>
          </cell>
          <cell r="BQ167">
            <v>9153064.8100000005</v>
          </cell>
          <cell r="BR167">
            <v>10301394.810000001</v>
          </cell>
          <cell r="BS167">
            <v>10461658.810000001</v>
          </cell>
          <cell r="BT167">
            <v>8902055.8100000005</v>
          </cell>
          <cell r="BU167">
            <v>9455812.4700000007</v>
          </cell>
          <cell r="BV167">
            <v>6835541.4699999997</v>
          </cell>
          <cell r="BW167">
            <v>4507606.47</v>
          </cell>
          <cell r="BX167">
            <v>5610499.4699999997</v>
          </cell>
          <cell r="BY167">
            <v>9000597.4700000007</v>
          </cell>
          <cell r="BZ167">
            <v>12085260.640000001</v>
          </cell>
          <cell r="CA167">
            <v>13315276.640000001</v>
          </cell>
          <cell r="CB167">
            <v>13955912.640000001</v>
          </cell>
          <cell r="CC167">
            <v>13419803.640000001</v>
          </cell>
          <cell r="CD167">
            <v>14069898.640000001</v>
          </cell>
          <cell r="CE167">
            <v>13486354.640000001</v>
          </cell>
          <cell r="CF167">
            <v>10977932.640000001</v>
          </cell>
          <cell r="CG167">
            <v>10183908.800000001</v>
          </cell>
          <cell r="CH167">
            <v>6168093.7999999998</v>
          </cell>
          <cell r="CI167">
            <v>2672343.9900000002</v>
          </cell>
          <cell r="CJ167">
            <v>1887381.02</v>
          </cell>
          <cell r="CK167">
            <v>5514359.0199999996</v>
          </cell>
          <cell r="CL167">
            <v>2984172.36</v>
          </cell>
          <cell r="CM167">
            <v>1677602.36</v>
          </cell>
          <cell r="CN167">
            <v>5499469.3600000003</v>
          </cell>
          <cell r="CO167">
            <v>5895484.3600000003</v>
          </cell>
          <cell r="CP167">
            <v>5154967.3600000003</v>
          </cell>
          <cell r="CQ167">
            <v>5465947.3600000003</v>
          </cell>
          <cell r="CR167">
            <v>4455322.3600000003</v>
          </cell>
          <cell r="CS167">
            <v>2979201.54</v>
          </cell>
          <cell r="CT167">
            <v>0</v>
          </cell>
          <cell r="CU167">
            <v>0</v>
          </cell>
          <cell r="CV167">
            <v>0</v>
          </cell>
          <cell r="CW167">
            <v>0</v>
          </cell>
          <cell r="CX167">
            <v>0</v>
          </cell>
          <cell r="CY167">
            <v>0</v>
          </cell>
          <cell r="CZ167">
            <v>1958647.8</v>
          </cell>
          <cell r="DA167">
            <v>376233.8</v>
          </cell>
          <cell r="DB167">
            <v>676002.8</v>
          </cell>
          <cell r="DC167">
            <v>1437703.8</v>
          </cell>
          <cell r="DD167">
            <v>5007899.25</v>
          </cell>
          <cell r="DE167">
            <v>10208061.42</v>
          </cell>
          <cell r="DF167">
            <v>13346907.42</v>
          </cell>
          <cell r="DG167">
            <v>3400043.42</v>
          </cell>
          <cell r="DH167">
            <v>0</v>
          </cell>
        </row>
        <row r="168">
          <cell r="A168" t="str">
            <v>1910165</v>
          </cell>
          <cell r="B168" t="str">
            <v>1910165</v>
          </cell>
          <cell r="C168" t="str">
            <v>PurGasAdj Reclass C</v>
          </cell>
          <cell r="D168">
            <v>0</v>
          </cell>
          <cell r="E168">
            <v>0</v>
          </cell>
          <cell r="F168">
            <v>-2690380.3</v>
          </cell>
          <cell r="G168">
            <v>-1871187.3</v>
          </cell>
          <cell r="H168">
            <v>-3825481.06</v>
          </cell>
          <cell r="I168">
            <v>-1871385.06</v>
          </cell>
          <cell r="J168">
            <v>-3731579.99</v>
          </cell>
          <cell r="K168">
            <v>-4495686.04</v>
          </cell>
          <cell r="L168">
            <v>-4685303.04</v>
          </cell>
          <cell r="M168">
            <v>-4415619.04</v>
          </cell>
          <cell r="N168">
            <v>-2426539.04</v>
          </cell>
          <cell r="O168">
            <v>0</v>
          </cell>
          <cell r="P168">
            <v>0</v>
          </cell>
          <cell r="Q168">
            <v>0</v>
          </cell>
          <cell r="R168">
            <v>0</v>
          </cell>
          <cell r="S168">
            <v>-1116132</v>
          </cell>
          <cell r="T168">
            <v>0</v>
          </cell>
          <cell r="U168">
            <v>0</v>
          </cell>
          <cell r="V168">
            <v>-1241464</v>
          </cell>
          <cell r="W168">
            <v>-106142</v>
          </cell>
          <cell r="X168">
            <v>-587030</v>
          </cell>
          <cell r="Y168">
            <v>-165112</v>
          </cell>
          <cell r="Z168">
            <v>0</v>
          </cell>
          <cell r="AA168">
            <v>0</v>
          </cell>
          <cell r="AB168">
            <v>0</v>
          </cell>
          <cell r="AC168">
            <v>0</v>
          </cell>
          <cell r="AD168">
            <v>-1124468.1299999999</v>
          </cell>
          <cell r="AE168">
            <v>-2680714.13</v>
          </cell>
          <cell r="AF168">
            <v>-3391795.13</v>
          </cell>
          <cell r="AG168">
            <v>-4918154.13</v>
          </cell>
          <cell r="AH168">
            <v>-6825029.1299999999</v>
          </cell>
          <cell r="AI168">
            <v>-8051702.46</v>
          </cell>
          <cell r="AJ168">
            <v>-8821966.4600000009</v>
          </cell>
          <cell r="AK168">
            <v>-8283926.46</v>
          </cell>
          <cell r="AL168">
            <v>-5545722.46</v>
          </cell>
          <cell r="AM168">
            <v>-2658041.46</v>
          </cell>
          <cell r="AN168">
            <v>-2176669.4</v>
          </cell>
          <cell r="AO168">
            <v>-2642346.4</v>
          </cell>
          <cell r="AP168">
            <v>-5804990.4100000001</v>
          </cell>
          <cell r="AQ168">
            <v>-2294854.41</v>
          </cell>
          <cell r="AR168">
            <v>-3251333.41</v>
          </cell>
          <cell r="AS168">
            <v>-3259418.41</v>
          </cell>
          <cell r="AT168">
            <v>-2333782.41</v>
          </cell>
          <cell r="AU168">
            <v>-1140359.77</v>
          </cell>
          <cell r="AV168">
            <v>0</v>
          </cell>
          <cell r="AW168">
            <v>-1125284.77</v>
          </cell>
          <cell r="AX168">
            <v>0</v>
          </cell>
          <cell r="AY168">
            <v>0</v>
          </cell>
          <cell r="AZ168">
            <v>0</v>
          </cell>
          <cell r="BA168">
            <v>-2384064.9300000002</v>
          </cell>
          <cell r="BB168">
            <v>-8545555.9299999997</v>
          </cell>
          <cell r="BC168">
            <v>-5868120.9299999997</v>
          </cell>
          <cell r="BD168">
            <v>-9522977.9299999997</v>
          </cell>
          <cell r="BE168">
            <v>-9400213.9299999997</v>
          </cell>
          <cell r="BF168">
            <v>-9953193.9299999997</v>
          </cell>
          <cell r="BG168">
            <v>-10094432.93</v>
          </cell>
          <cell r="BH168">
            <v>-9688297.1999999993</v>
          </cell>
          <cell r="BI168">
            <v>-10202183.199999999</v>
          </cell>
          <cell r="BJ168">
            <v>-7149370.25</v>
          </cell>
          <cell r="BK168">
            <v>-834981.25</v>
          </cell>
          <cell r="BL168">
            <v>0</v>
          </cell>
          <cell r="BM168">
            <v>0</v>
          </cell>
          <cell r="BN168">
            <v>-2764299.81</v>
          </cell>
          <cell r="BO168">
            <v>-3806517.81</v>
          </cell>
          <cell r="BP168">
            <v>-6734309.8099999996</v>
          </cell>
          <cell r="BQ168">
            <v>-9153064.8100000005</v>
          </cell>
          <cell r="BR168">
            <v>-10301394.810000001</v>
          </cell>
          <cell r="BS168">
            <v>-10461658.810000001</v>
          </cell>
          <cell r="BT168">
            <v>-8902055.8100000005</v>
          </cell>
          <cell r="BU168">
            <v>-9455812.4700000007</v>
          </cell>
          <cell r="BV168">
            <v>-6835541.4699999997</v>
          </cell>
          <cell r="BW168">
            <v>-4507606.47</v>
          </cell>
          <cell r="BX168">
            <v>-5610499.4699999997</v>
          </cell>
          <cell r="BY168">
            <v>-9000597.4700000007</v>
          </cell>
          <cell r="BZ168">
            <v>-12085260.640000001</v>
          </cell>
          <cell r="CA168">
            <v>-13315276.640000001</v>
          </cell>
          <cell r="CB168">
            <v>-13955912.640000001</v>
          </cell>
          <cell r="CC168">
            <v>-13419803.640000001</v>
          </cell>
          <cell r="CD168">
            <v>-14069898.640000001</v>
          </cell>
          <cell r="CE168">
            <v>-13486354.640000001</v>
          </cell>
          <cell r="CF168">
            <v>-10977932.640000001</v>
          </cell>
          <cell r="CG168">
            <v>-10183908.800000001</v>
          </cell>
          <cell r="CH168">
            <v>-6168093.7999999998</v>
          </cell>
          <cell r="CI168">
            <v>-2672343.9900000002</v>
          </cell>
          <cell r="CJ168">
            <v>-1887381.02</v>
          </cell>
          <cell r="CK168">
            <v>-5514359.0199999996</v>
          </cell>
          <cell r="CL168">
            <v>-2984172.36</v>
          </cell>
          <cell r="CM168">
            <v>-1677602.36</v>
          </cell>
          <cell r="CN168">
            <v>-5499469.3600000003</v>
          </cell>
          <cell r="CO168">
            <v>-5895484.3600000003</v>
          </cell>
          <cell r="CP168">
            <v>-5154967.3600000003</v>
          </cell>
          <cell r="CQ168">
            <v>-5465947.3600000003</v>
          </cell>
          <cell r="CR168">
            <v>-4455322.3600000003</v>
          </cell>
          <cell r="CS168">
            <v>-2979201.54</v>
          </cell>
          <cell r="CT168">
            <v>0</v>
          </cell>
          <cell r="CU168">
            <v>0</v>
          </cell>
          <cell r="CV168">
            <v>0</v>
          </cell>
          <cell r="CW168">
            <v>0</v>
          </cell>
          <cell r="CX168">
            <v>0</v>
          </cell>
          <cell r="CY168">
            <v>0</v>
          </cell>
          <cell r="CZ168">
            <v>-1958647.8</v>
          </cell>
          <cell r="DA168">
            <v>-376233.8</v>
          </cell>
          <cell r="DB168">
            <v>-676002.8</v>
          </cell>
          <cell r="DC168">
            <v>-1437703.8</v>
          </cell>
          <cell r="DD168">
            <v>-5007899.25</v>
          </cell>
          <cell r="DE168">
            <v>-10208061.42</v>
          </cell>
          <cell r="DF168">
            <v>-13346907.42</v>
          </cell>
          <cell r="DG168">
            <v>-3400043.42</v>
          </cell>
          <cell r="DH168">
            <v>0</v>
          </cell>
        </row>
        <row r="169">
          <cell r="A169" t="str">
            <v>1990900</v>
          </cell>
          <cell r="B169" t="str">
            <v>1990900</v>
          </cell>
          <cell r="C169" t="str">
            <v>GL Data Takeover</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row>
        <row r="170">
          <cell r="A170" t="str">
            <v>1990910</v>
          </cell>
          <cell r="B170" t="str">
            <v>1990910</v>
          </cell>
          <cell r="C170" t="str">
            <v>Inventory Takeover</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row>
        <row r="171">
          <cell r="A171" t="str">
            <v>1990920</v>
          </cell>
          <cell r="B171" t="str">
            <v>1990920</v>
          </cell>
          <cell r="C171" t="str">
            <v>CRM Takeover</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row>
        <row r="172">
          <cell r="A172" t="str">
            <v>2070000</v>
          </cell>
          <cell r="B172" t="str">
            <v>2070000</v>
          </cell>
          <cell r="C172" t="str">
            <v>Prem Capital Stock</v>
          </cell>
          <cell r="D172">
            <v>-5575333.3300000001</v>
          </cell>
          <cell r="E172">
            <v>-5575333.3300000001</v>
          </cell>
          <cell r="F172">
            <v>-5575333.3300000001</v>
          </cell>
          <cell r="G172">
            <v>-5575333.3300000001</v>
          </cell>
          <cell r="H172">
            <v>-5575333.3300000001</v>
          </cell>
          <cell r="I172">
            <v>-5575333.3300000001</v>
          </cell>
          <cell r="J172">
            <v>-5575333.3300000001</v>
          </cell>
          <cell r="K172">
            <v>-5575333.3300000001</v>
          </cell>
          <cell r="L172">
            <v>-5575333.3300000001</v>
          </cell>
          <cell r="M172">
            <v>-5575333.3300000001</v>
          </cell>
          <cell r="N172">
            <v>-5575333.3300000001</v>
          </cell>
          <cell r="O172">
            <v>-5575333.3300000001</v>
          </cell>
          <cell r="P172">
            <v>-5575333.3300000001</v>
          </cell>
          <cell r="Q172">
            <v>-5575333.3300000001</v>
          </cell>
          <cell r="R172">
            <v>-5575333.3300000001</v>
          </cell>
          <cell r="S172">
            <v>-5575333.3300000001</v>
          </cell>
          <cell r="T172">
            <v>-5575333.3300000001</v>
          </cell>
          <cell r="U172">
            <v>-5575333.3300000001</v>
          </cell>
          <cell r="V172">
            <v>-5575333.3300000001</v>
          </cell>
          <cell r="W172">
            <v>-5575333.3300000001</v>
          </cell>
          <cell r="X172">
            <v>-5575333.3300000001</v>
          </cell>
          <cell r="Y172">
            <v>-5575333.3300000001</v>
          </cell>
          <cell r="Z172">
            <v>-5575333.3300000001</v>
          </cell>
          <cell r="AA172">
            <v>-5575333.3300000001</v>
          </cell>
          <cell r="AB172">
            <v>-5575333.3300000001</v>
          </cell>
          <cell r="AC172">
            <v>-5575333.3300000001</v>
          </cell>
          <cell r="AD172">
            <v>-5575333.3300000001</v>
          </cell>
          <cell r="AE172">
            <v>-5575333.3300000001</v>
          </cell>
          <cell r="AF172">
            <v>-5575333.3300000001</v>
          </cell>
          <cell r="AG172">
            <v>-5575333.3300000001</v>
          </cell>
          <cell r="AH172">
            <v>-5575333.3300000001</v>
          </cell>
          <cell r="AI172">
            <v>-5575333.3300000001</v>
          </cell>
          <cell r="AJ172">
            <v>-5575333.3300000001</v>
          </cell>
          <cell r="AK172">
            <v>-5575333.3300000001</v>
          </cell>
          <cell r="AL172">
            <v>-5575333.3300000001</v>
          </cell>
          <cell r="AM172">
            <v>-5575333.3300000001</v>
          </cell>
          <cell r="AN172">
            <v>-5575333.3300000001</v>
          </cell>
          <cell r="AO172">
            <v>-5575333.3300000001</v>
          </cell>
          <cell r="AP172">
            <v>-5575333.3300000001</v>
          </cell>
          <cell r="AQ172">
            <v>-5575333.3300000001</v>
          </cell>
          <cell r="AR172">
            <v>-5575333.3300000001</v>
          </cell>
          <cell r="AS172">
            <v>-5575333.3300000001</v>
          </cell>
          <cell r="AT172">
            <v>-5575333.3300000001</v>
          </cell>
          <cell r="AU172">
            <v>-5575333.3300000001</v>
          </cell>
          <cell r="AV172">
            <v>-5575333.3300000001</v>
          </cell>
          <cell r="AW172">
            <v>-5575333.3300000001</v>
          </cell>
          <cell r="AX172">
            <v>-5575333.3300000001</v>
          </cell>
          <cell r="AY172">
            <v>-5575333.3300000001</v>
          </cell>
          <cell r="AZ172">
            <v>-5575333.3300000001</v>
          </cell>
          <cell r="BA172">
            <v>-5575333.3300000001</v>
          </cell>
          <cell r="BB172">
            <v>-5575333.3300000001</v>
          </cell>
          <cell r="BC172">
            <v>-5575333.3300000001</v>
          </cell>
          <cell r="BD172">
            <v>-5575333.3300000001</v>
          </cell>
          <cell r="BE172">
            <v>-5575333.3300000001</v>
          </cell>
          <cell r="BF172">
            <v>-5575333.3300000001</v>
          </cell>
          <cell r="BG172">
            <v>-5575333.3300000001</v>
          </cell>
          <cell r="BH172">
            <v>-5575333.3300000001</v>
          </cell>
          <cell r="BI172">
            <v>-5575333.3300000001</v>
          </cell>
          <cell r="BJ172">
            <v>-5575333.3300000001</v>
          </cell>
          <cell r="BK172">
            <v>-5575333.3300000001</v>
          </cell>
          <cell r="BL172">
            <v>-5575333.3300000001</v>
          </cell>
          <cell r="BM172">
            <v>-5575333.3300000001</v>
          </cell>
          <cell r="BN172">
            <v>-5575333.3300000001</v>
          </cell>
          <cell r="BO172">
            <v>-5575333.3300000001</v>
          </cell>
          <cell r="BP172">
            <v>-5575333.3300000001</v>
          </cell>
          <cell r="BQ172">
            <v>-5575333.3300000001</v>
          </cell>
          <cell r="BR172">
            <v>-5575333.3300000001</v>
          </cell>
          <cell r="BS172">
            <v>-5575333.3300000001</v>
          </cell>
          <cell r="BT172">
            <v>-5575333.3300000001</v>
          </cell>
          <cell r="BU172">
            <v>-5575333.3300000001</v>
          </cell>
          <cell r="BV172">
            <v>-5575333.3300000001</v>
          </cell>
          <cell r="BW172">
            <v>-5575333.3300000001</v>
          </cell>
          <cell r="BX172">
            <v>-5575333.3300000001</v>
          </cell>
          <cell r="BY172">
            <v>-5575333.3300000001</v>
          </cell>
          <cell r="BZ172">
            <v>-5575333.3300000001</v>
          </cell>
          <cell r="CA172">
            <v>-5575333.3300000001</v>
          </cell>
          <cell r="CB172">
            <v>-5575333.3300000001</v>
          </cell>
          <cell r="CC172">
            <v>-5575333.3300000001</v>
          </cell>
          <cell r="CD172">
            <v>-5575333.3300000001</v>
          </cell>
          <cell r="CE172">
            <v>-5575333.3300000001</v>
          </cell>
          <cell r="CF172">
            <v>-5575333.3300000001</v>
          </cell>
          <cell r="CG172">
            <v>-5575333.3300000001</v>
          </cell>
          <cell r="CH172">
            <v>-5575333.3300000001</v>
          </cell>
          <cell r="CI172">
            <v>-5575333.3300000001</v>
          </cell>
          <cell r="CJ172">
            <v>-5575333.3300000001</v>
          </cell>
          <cell r="CK172">
            <v>-5575333.3300000001</v>
          </cell>
          <cell r="CL172">
            <v>-5575333.3300000001</v>
          </cell>
          <cell r="CM172">
            <v>-5575333.3300000001</v>
          </cell>
          <cell r="CN172">
            <v>-5575333.3300000001</v>
          </cell>
          <cell r="CO172">
            <v>-5575333.3300000001</v>
          </cell>
          <cell r="CP172">
            <v>-5575333.3300000001</v>
          </cell>
          <cell r="CQ172">
            <v>-5575333.3300000001</v>
          </cell>
          <cell r="CR172">
            <v>-5575333.3300000001</v>
          </cell>
          <cell r="CS172">
            <v>-5575333.3300000001</v>
          </cell>
          <cell r="CT172">
            <v>-5575333.3300000001</v>
          </cell>
          <cell r="CU172">
            <v>-5575333.3300000001</v>
          </cell>
          <cell r="CV172">
            <v>-5575333.3300000001</v>
          </cell>
          <cell r="CW172">
            <v>-5575333.3300000001</v>
          </cell>
          <cell r="CX172">
            <v>-5575333.3300000001</v>
          </cell>
          <cell r="CY172">
            <v>-5575333.3300000001</v>
          </cell>
          <cell r="CZ172">
            <v>-5575333.3300000001</v>
          </cell>
          <cell r="DA172">
            <v>-5575333.3300000001</v>
          </cell>
          <cell r="DB172">
            <v>-5575333.3300000001</v>
          </cell>
          <cell r="DC172">
            <v>-5575333.3300000001</v>
          </cell>
          <cell r="DD172">
            <v>-5575333.3300000001</v>
          </cell>
          <cell r="DE172">
            <v>-5575333.3300000001</v>
          </cell>
          <cell r="DF172">
            <v>-5575333.3300000001</v>
          </cell>
          <cell r="DG172">
            <v>-5575333.3300000001</v>
          </cell>
          <cell r="DH172">
            <v>-5575333.3300000001</v>
          </cell>
        </row>
        <row r="173">
          <cell r="A173" t="str">
            <v>2110000</v>
          </cell>
          <cell r="B173" t="str">
            <v>2110000</v>
          </cell>
          <cell r="C173" t="str">
            <v>Misc Paidin Capital</v>
          </cell>
          <cell r="D173">
            <v>-179974835.86000001</v>
          </cell>
          <cell r="E173">
            <v>-179974835.86000001</v>
          </cell>
          <cell r="F173">
            <v>-186974835.86000001</v>
          </cell>
          <cell r="G173">
            <v>-186974835.86000001</v>
          </cell>
          <cell r="H173">
            <v>-186974835.86000001</v>
          </cell>
          <cell r="I173">
            <v>-196974835.86000001</v>
          </cell>
          <cell r="J173">
            <v>-196974835.86000001</v>
          </cell>
          <cell r="K173">
            <v>-196974835.86000001</v>
          </cell>
          <cell r="L173">
            <v>-199474835.86000001</v>
          </cell>
          <cell r="M173">
            <v>-199474835.86000001</v>
          </cell>
          <cell r="N173">
            <v>-199474835.86000001</v>
          </cell>
          <cell r="O173">
            <v>-204974835.86000001</v>
          </cell>
          <cell r="P173">
            <v>-204974835.86000001</v>
          </cell>
          <cell r="Q173">
            <v>-204974835.86000001</v>
          </cell>
          <cell r="R173">
            <v>-204974835.86000001</v>
          </cell>
          <cell r="S173">
            <v>-204974835.86000001</v>
          </cell>
          <cell r="T173">
            <v>-204974835.86000001</v>
          </cell>
          <cell r="U173">
            <v>-214974835.86000001</v>
          </cell>
          <cell r="V173">
            <v>-214974835.86000001</v>
          </cell>
          <cell r="W173">
            <v>-214974835.86000001</v>
          </cell>
          <cell r="X173">
            <v>-222974835.86000001</v>
          </cell>
          <cell r="Y173">
            <v>-222974835.86000001</v>
          </cell>
          <cell r="Z173">
            <v>-222974835.86000001</v>
          </cell>
          <cell r="AA173">
            <v>-229974835.86000001</v>
          </cell>
          <cell r="AB173">
            <v>-229974835.86000001</v>
          </cell>
          <cell r="AC173">
            <v>-229974835.86000001</v>
          </cell>
          <cell r="AD173">
            <v>-229974835.86000001</v>
          </cell>
          <cell r="AE173">
            <v>-229974835.86000001</v>
          </cell>
          <cell r="AF173">
            <v>-229974835.86000001</v>
          </cell>
          <cell r="AG173">
            <v>-229974835.86000001</v>
          </cell>
          <cell r="AH173">
            <v>-229974835.86000001</v>
          </cell>
          <cell r="AI173">
            <v>-229974835.86000001</v>
          </cell>
          <cell r="AJ173">
            <v>-229974835.86000001</v>
          </cell>
          <cell r="AK173">
            <v>-229974835.86000001</v>
          </cell>
          <cell r="AL173">
            <v>-229974835.86000001</v>
          </cell>
          <cell r="AM173">
            <v>-229974835.86000001</v>
          </cell>
          <cell r="AN173">
            <v>-229974835.86000001</v>
          </cell>
          <cell r="AO173">
            <v>-229974835.86000001</v>
          </cell>
          <cell r="AP173">
            <v>-236974835.86000001</v>
          </cell>
          <cell r="AQ173">
            <v>-236974835.86000001</v>
          </cell>
          <cell r="AR173">
            <v>-236974835.86000001</v>
          </cell>
          <cell r="AS173">
            <v>-252974835.86000001</v>
          </cell>
          <cell r="AT173">
            <v>-252974835.86000001</v>
          </cell>
          <cell r="AU173">
            <v>-252974835.86000001</v>
          </cell>
          <cell r="AV173">
            <v>-262974835.86000001</v>
          </cell>
          <cell r="AW173">
            <v>-262974835.86000001</v>
          </cell>
          <cell r="AX173">
            <v>-262974835.86000001</v>
          </cell>
          <cell r="AY173">
            <v>-269974835.86000001</v>
          </cell>
          <cell r="AZ173">
            <v>-269974835.86000001</v>
          </cell>
          <cell r="BA173">
            <v>-269974835.86000001</v>
          </cell>
          <cell r="BB173">
            <v>-279974835.86000001</v>
          </cell>
          <cell r="BC173">
            <v>-279974835.86000001</v>
          </cell>
          <cell r="BD173">
            <v>-279974835.86000001</v>
          </cell>
          <cell r="BE173">
            <v>-294974835.86000001</v>
          </cell>
          <cell r="BF173">
            <v>-294974835.86000001</v>
          </cell>
          <cell r="BG173">
            <v>-294974835.86000001</v>
          </cell>
          <cell r="BH173">
            <v>-304974835.86000001</v>
          </cell>
          <cell r="BI173">
            <v>-304974835.86000001</v>
          </cell>
          <cell r="BJ173">
            <v>-304974835.86000001</v>
          </cell>
          <cell r="BK173">
            <v>-314974835.86000001</v>
          </cell>
          <cell r="BL173">
            <v>-314974835.86000001</v>
          </cell>
          <cell r="BM173">
            <v>-314974835.86000001</v>
          </cell>
          <cell r="BN173">
            <v>-349974835.86000001</v>
          </cell>
          <cell r="BO173">
            <v>-349974835.86000001</v>
          </cell>
          <cell r="BP173">
            <v>-349974835.86000001</v>
          </cell>
          <cell r="BQ173">
            <v>-384974835.86000001</v>
          </cell>
          <cell r="BR173">
            <v>-384974835.86000001</v>
          </cell>
          <cell r="BS173">
            <v>-384974835.86000001</v>
          </cell>
          <cell r="BT173">
            <v>-384974835.86000001</v>
          </cell>
          <cell r="BU173">
            <v>-409974835.86000001</v>
          </cell>
          <cell r="BV173">
            <v>-409974835.86000001</v>
          </cell>
          <cell r="BW173">
            <v>-409974835.86000001</v>
          </cell>
          <cell r="BX173">
            <v>-409974835.86000001</v>
          </cell>
          <cell r="BY173">
            <v>-409974835.86000001</v>
          </cell>
          <cell r="BZ173">
            <v>-449974835.86000001</v>
          </cell>
          <cell r="CA173">
            <v>-449974835.86000001</v>
          </cell>
          <cell r="CB173">
            <v>-449974835.86000001</v>
          </cell>
          <cell r="CC173">
            <v>-479974835.86000001</v>
          </cell>
          <cell r="CD173">
            <v>-479974835.86000001</v>
          </cell>
          <cell r="CE173">
            <v>-479974835.86000001</v>
          </cell>
          <cell r="CF173">
            <v>-524974835.86000001</v>
          </cell>
          <cell r="CG173">
            <v>-524974835.86000001</v>
          </cell>
          <cell r="CH173">
            <v>-524974835.86000001</v>
          </cell>
          <cell r="CI173">
            <v>-539974835.86000001</v>
          </cell>
          <cell r="CJ173">
            <v>-539974835.86000001</v>
          </cell>
          <cell r="CK173">
            <v>-539974835.86000001</v>
          </cell>
          <cell r="CL173">
            <v>-579974835.86000001</v>
          </cell>
          <cell r="CM173">
            <v>-579974835.86000001</v>
          </cell>
          <cell r="CN173">
            <v>-579974835.86000001</v>
          </cell>
          <cell r="CO173">
            <v>-599974835.86000001</v>
          </cell>
          <cell r="CP173">
            <v>-599974835.86000001</v>
          </cell>
          <cell r="CQ173">
            <v>-599974835.86000001</v>
          </cell>
          <cell r="CR173">
            <v>-634974835.86000001</v>
          </cell>
          <cell r="CS173">
            <v>-634974835.86000001</v>
          </cell>
          <cell r="CT173">
            <v>-634974835.86000001</v>
          </cell>
          <cell r="CU173">
            <v>-659974835.86000001</v>
          </cell>
          <cell r="CV173">
            <v>-659974835.86000001</v>
          </cell>
          <cell r="CW173">
            <v>-659974835.86000001</v>
          </cell>
          <cell r="CX173">
            <v>-734974835.86000001</v>
          </cell>
          <cell r="CY173">
            <v>-734974835.86000001</v>
          </cell>
          <cell r="CZ173">
            <v>-734974835.86000001</v>
          </cell>
          <cell r="DA173">
            <v>-764974835.86000001</v>
          </cell>
          <cell r="DB173">
            <v>-764974835.86000001</v>
          </cell>
          <cell r="DC173">
            <v>-764974835.86000001</v>
          </cell>
          <cell r="DD173">
            <v>-804974835.86000001</v>
          </cell>
          <cell r="DE173">
            <v>-804974835.86000001</v>
          </cell>
          <cell r="DF173">
            <v>-804974835.86000001</v>
          </cell>
          <cell r="DG173">
            <v>-829974835.86000001</v>
          </cell>
          <cell r="DH173">
            <v>-864974835.86000001</v>
          </cell>
        </row>
        <row r="174">
          <cell r="A174" t="str">
            <v>2160000</v>
          </cell>
          <cell r="B174" t="str">
            <v>2160000</v>
          </cell>
          <cell r="C174" t="str">
            <v>Retained Earnings</v>
          </cell>
          <cell r="D174">
            <v>-112751746.77</v>
          </cell>
          <cell r="E174">
            <v>-110952205.43000001</v>
          </cell>
          <cell r="F174">
            <v>-115124241.33</v>
          </cell>
          <cell r="G174">
            <v>-119799633.63</v>
          </cell>
          <cell r="H174">
            <v>-111564858.44</v>
          </cell>
          <cell r="I174">
            <v>-113200545.61</v>
          </cell>
          <cell r="J174">
            <v>-115416639.97</v>
          </cell>
          <cell r="K174">
            <v>-107554579.37</v>
          </cell>
          <cell r="L174">
            <v>-109067808.43000001</v>
          </cell>
          <cell r="M174">
            <v>-110333721.84999999</v>
          </cell>
          <cell r="N174">
            <v>-107285782.06</v>
          </cell>
          <cell r="O174">
            <v>-110110889.66</v>
          </cell>
          <cell r="P174">
            <v>-113647895.56999999</v>
          </cell>
          <cell r="Q174">
            <v>-118802797.55</v>
          </cell>
          <cell r="R174">
            <v>-117504527.31999999</v>
          </cell>
          <cell r="S174">
            <v>-121475246.72</v>
          </cell>
          <cell r="T174">
            <v>-110287568.98999999</v>
          </cell>
          <cell r="U174">
            <v>-112407027.02</v>
          </cell>
          <cell r="V174">
            <v>-114986553.63</v>
          </cell>
          <cell r="W174">
            <v>-108323066.45999999</v>
          </cell>
          <cell r="X174">
            <v>-110663699.53</v>
          </cell>
          <cell r="Y174">
            <v>-112300808.7</v>
          </cell>
          <cell r="Z174">
            <v>-114335585.09999999</v>
          </cell>
          <cell r="AA174">
            <v>-109351454.22</v>
          </cell>
          <cell r="AB174">
            <v>-111596653.5</v>
          </cell>
          <cell r="AC174">
            <v>-116597753.33</v>
          </cell>
          <cell r="AD174">
            <v>-116398348.61</v>
          </cell>
          <cell r="AE174">
            <v>-118668858.11</v>
          </cell>
          <cell r="AF174">
            <v>-121492806.76000001</v>
          </cell>
          <cell r="AG174">
            <v>-111639873.68000001</v>
          </cell>
          <cell r="AH174">
            <v>-105236370.94</v>
          </cell>
          <cell r="AI174">
            <v>-107637597.34</v>
          </cell>
          <cell r="AJ174">
            <v>-109379707.72</v>
          </cell>
          <cell r="AK174">
            <v>-111158412.81</v>
          </cell>
          <cell r="AL174">
            <v>-113332997.3</v>
          </cell>
          <cell r="AM174">
            <v>-110917535.06</v>
          </cell>
          <cell r="AN174">
            <v>-112749467.06999999</v>
          </cell>
          <cell r="AO174">
            <v>-117760363.55</v>
          </cell>
          <cell r="AP174">
            <v>-114776913.91</v>
          </cell>
          <cell r="AQ174">
            <v>-119026536.19</v>
          </cell>
          <cell r="AR174">
            <v>-122710535.67</v>
          </cell>
          <cell r="AS174">
            <v>-115691041.48999999</v>
          </cell>
          <cell r="AT174">
            <v>-117926021.73</v>
          </cell>
          <cell r="AU174">
            <v>-120083512.84</v>
          </cell>
          <cell r="AV174">
            <v>-111138566.63</v>
          </cell>
          <cell r="AW174">
            <v>-113846485.06</v>
          </cell>
          <cell r="AX174">
            <v>-116231024.20999999</v>
          </cell>
          <cell r="AY174">
            <v>-112278072.45</v>
          </cell>
          <cell r="AZ174">
            <v>-117313122.59999999</v>
          </cell>
          <cell r="BA174">
            <v>-126187963.14</v>
          </cell>
          <cell r="BB174">
            <v>-117345565.77</v>
          </cell>
          <cell r="BC174">
            <v>-118883531.98999999</v>
          </cell>
          <cell r="BD174">
            <v>-123682154.91</v>
          </cell>
          <cell r="BE174">
            <v>-111606549.43000001</v>
          </cell>
          <cell r="BF174">
            <v>-114480264.23999999</v>
          </cell>
          <cell r="BG174">
            <v>-117295990.61</v>
          </cell>
          <cell r="BH174">
            <v>-109540020.92</v>
          </cell>
          <cell r="BI174">
            <v>-113063498.97</v>
          </cell>
          <cell r="BJ174">
            <v>-115613095.17</v>
          </cell>
          <cell r="BK174">
            <v>-110210539.77</v>
          </cell>
          <cell r="BL174">
            <v>-115286558.36</v>
          </cell>
          <cell r="BM174">
            <v>-121647855.66</v>
          </cell>
          <cell r="BN174">
            <v>-116324247.79000001</v>
          </cell>
          <cell r="BO174">
            <v>-121359169.36</v>
          </cell>
          <cell r="BP174">
            <v>-126168992.53</v>
          </cell>
          <cell r="BQ174">
            <v>-113450977.5</v>
          </cell>
          <cell r="BR174">
            <v>-116981616.55</v>
          </cell>
          <cell r="BS174">
            <v>-119701501.81</v>
          </cell>
          <cell r="BT174">
            <v>-110484117.76000001</v>
          </cell>
          <cell r="BU174">
            <v>-113948813.06</v>
          </cell>
          <cell r="BV174">
            <v>-117176831.29000001</v>
          </cell>
          <cell r="BW174">
            <v>-111817281.34999999</v>
          </cell>
          <cell r="BX174">
            <v>-115649892.59999999</v>
          </cell>
          <cell r="BY174">
            <v>-123199237.58</v>
          </cell>
          <cell r="BZ174">
            <v>-117446726.44</v>
          </cell>
          <cell r="CA174">
            <v>-122197610.2</v>
          </cell>
          <cell r="CB174">
            <v>-125573891.23999999</v>
          </cell>
          <cell r="CC174">
            <v>-110956104.92</v>
          </cell>
          <cell r="CD174">
            <v>-113941556.62</v>
          </cell>
          <cell r="CE174">
            <v>-116849250.12</v>
          </cell>
          <cell r="CF174">
            <v>-110735988.48</v>
          </cell>
          <cell r="CG174">
            <v>-113912115.83</v>
          </cell>
          <cell r="CH174">
            <v>-116508199.70999999</v>
          </cell>
          <cell r="CI174">
            <v>-111858761.63</v>
          </cell>
          <cell r="CJ174">
            <v>-116111278.3</v>
          </cell>
          <cell r="CK174">
            <v>-127172630.66</v>
          </cell>
          <cell r="CL174">
            <v>-123064941.83</v>
          </cell>
          <cell r="CM174">
            <v>-130480380.98</v>
          </cell>
          <cell r="CN174">
            <v>-111744075.12</v>
          </cell>
          <cell r="CO174">
            <v>-116876984.18000001</v>
          </cell>
          <cell r="CP174">
            <v>-122048111.78</v>
          </cell>
          <cell r="CQ174">
            <v>-126208593.48999999</v>
          </cell>
          <cell r="CR174">
            <v>-112972753.8</v>
          </cell>
          <cell r="CS174">
            <v>-118232854.02</v>
          </cell>
          <cell r="CT174">
            <v>-123024793.39</v>
          </cell>
          <cell r="CU174">
            <v>-114701526.48</v>
          </cell>
          <cell r="CV174">
            <v>-120404681.34999999</v>
          </cell>
          <cell r="CW174">
            <v>-130047622.41</v>
          </cell>
          <cell r="CX174">
            <v>-122619869.13</v>
          </cell>
          <cell r="CY174">
            <v>-133052877.31</v>
          </cell>
          <cell r="CZ174">
            <v>-110833577.27</v>
          </cell>
          <cell r="DA174">
            <v>-116812916.17</v>
          </cell>
          <cell r="DB174">
            <v>-123248501.63</v>
          </cell>
          <cell r="DC174">
            <v>-127207087.25</v>
          </cell>
          <cell r="DD174">
            <v>-112614571.16</v>
          </cell>
          <cell r="DE174">
            <v>-119547023.81999999</v>
          </cell>
          <cell r="DF174">
            <v>-108934379.69</v>
          </cell>
          <cell r="DG174">
            <v>-114567294.52</v>
          </cell>
          <cell r="DH174">
            <v>-120661285.5</v>
          </cell>
        </row>
        <row r="175">
          <cell r="A175" t="str">
            <v>2161000</v>
          </cell>
          <cell r="B175" t="str">
            <v>2161000</v>
          </cell>
          <cell r="C175" t="str">
            <v>Unappr Subs Earn</v>
          </cell>
          <cell r="D175">
            <v>-1089914.58</v>
          </cell>
          <cell r="E175">
            <v>-708365.88</v>
          </cell>
          <cell r="F175">
            <v>-1038956.82</v>
          </cell>
          <cell r="G175">
            <v>-1245448.08</v>
          </cell>
          <cell r="H175">
            <v>-807415.1</v>
          </cell>
          <cell r="I175">
            <v>-985942.33</v>
          </cell>
          <cell r="J175">
            <v>-1248390.05</v>
          </cell>
          <cell r="K175">
            <v>-823090.47</v>
          </cell>
          <cell r="L175">
            <v>-1020922.51</v>
          </cell>
          <cell r="M175">
            <v>-1089675.83</v>
          </cell>
          <cell r="N175">
            <v>-683066.78</v>
          </cell>
          <cell r="O175">
            <v>-683066.78</v>
          </cell>
          <cell r="P175">
            <v>-875947.35</v>
          </cell>
          <cell r="Q175">
            <v>-1266722.42</v>
          </cell>
          <cell r="R175">
            <v>-946260.42</v>
          </cell>
          <cell r="S175">
            <v>-1097023.71</v>
          </cell>
          <cell r="T175">
            <v>-419556.3</v>
          </cell>
          <cell r="U175">
            <v>-643916</v>
          </cell>
          <cell r="V175">
            <v>-860210.17</v>
          </cell>
          <cell r="W175">
            <v>-520934.42</v>
          </cell>
          <cell r="X175">
            <v>-691978</v>
          </cell>
          <cell r="Y175">
            <v>-915316.24</v>
          </cell>
          <cell r="Z175">
            <v>-1045549.72</v>
          </cell>
          <cell r="AA175">
            <v>-695638.65</v>
          </cell>
          <cell r="AB175">
            <v>-1399472.66</v>
          </cell>
          <cell r="AC175">
            <v>-1695753.12</v>
          </cell>
          <cell r="AD175">
            <v>-1514763.27</v>
          </cell>
          <cell r="AE175">
            <v>-1617419.24</v>
          </cell>
          <cell r="AF175">
            <v>-1739485.05</v>
          </cell>
          <cell r="AG175">
            <v>-666978.23</v>
          </cell>
          <cell r="AH175">
            <v>-300552.07</v>
          </cell>
          <cell r="AI175">
            <v>-515423.32</v>
          </cell>
          <cell r="AJ175">
            <v>-793188.72</v>
          </cell>
          <cell r="AK175">
            <v>-973459.71</v>
          </cell>
          <cell r="AL175">
            <v>-1742856.08</v>
          </cell>
          <cell r="AM175">
            <v>-1304371.94</v>
          </cell>
          <cell r="AN175">
            <v>-1525688.98</v>
          </cell>
          <cell r="AO175">
            <v>-1879621.38</v>
          </cell>
          <cell r="AP175">
            <v>-726969.53</v>
          </cell>
          <cell r="AQ175">
            <v>-1014138.68</v>
          </cell>
          <cell r="AR175">
            <v>-1161107.23</v>
          </cell>
          <cell r="AS175">
            <v>-609685.12</v>
          </cell>
          <cell r="AT175">
            <v>-456323.95</v>
          </cell>
          <cell r="AU175">
            <v>-1057716.6000000001</v>
          </cell>
          <cell r="AV175">
            <v>-413438.25</v>
          </cell>
          <cell r="AW175">
            <v>-413438.25</v>
          </cell>
          <cell r="AX175">
            <v>-659049.01</v>
          </cell>
          <cell r="AY175">
            <v>-717920.59</v>
          </cell>
          <cell r="AZ175">
            <v>-1266989.51</v>
          </cell>
          <cell r="BA175">
            <v>-1694255.26</v>
          </cell>
          <cell r="BB175">
            <v>-674603.32</v>
          </cell>
          <cell r="BC175">
            <v>-787205.82</v>
          </cell>
          <cell r="BD175">
            <v>-1293484.54</v>
          </cell>
          <cell r="BE175">
            <v>-601110.72</v>
          </cell>
          <cell r="BF175">
            <v>-823770.91</v>
          </cell>
          <cell r="BG175">
            <v>-1113314.74</v>
          </cell>
          <cell r="BH175">
            <v>-311947.07</v>
          </cell>
          <cell r="BI175">
            <v>-486419.53</v>
          </cell>
          <cell r="BJ175">
            <v>-740096.56</v>
          </cell>
          <cell r="BK175">
            <v>-329191.28999999998</v>
          </cell>
          <cell r="BL175">
            <v>-746528.46</v>
          </cell>
          <cell r="BM175">
            <v>-1003177.05</v>
          </cell>
          <cell r="BN175">
            <v>-374954.42</v>
          </cell>
          <cell r="BO175">
            <v>-836083.16</v>
          </cell>
          <cell r="BP175">
            <v>-1253190.18</v>
          </cell>
          <cell r="BQ175">
            <v>-573708.28</v>
          </cell>
          <cell r="BR175">
            <v>-808242.6</v>
          </cell>
          <cell r="BS175">
            <v>-1147172.72</v>
          </cell>
          <cell r="BT175">
            <v>-631175.93000000005</v>
          </cell>
          <cell r="BU175">
            <v>-850340.26</v>
          </cell>
          <cell r="BV175">
            <v>-1047931.12</v>
          </cell>
          <cell r="BW175">
            <v>-224561.77</v>
          </cell>
          <cell r="BX175">
            <v>-453354.21</v>
          </cell>
          <cell r="BY175">
            <v>-579626.85</v>
          </cell>
          <cell r="BZ175">
            <v>-383953.91</v>
          </cell>
          <cell r="CA175">
            <v>-477853.33</v>
          </cell>
          <cell r="CB175">
            <v>-812300.57</v>
          </cell>
          <cell r="CC175">
            <v>-577565.73</v>
          </cell>
          <cell r="CD175">
            <v>-801907.17</v>
          </cell>
          <cell r="CE175">
            <v>-990347.09</v>
          </cell>
          <cell r="CF175">
            <v>-332563.58</v>
          </cell>
          <cell r="CG175">
            <v>-571793.88</v>
          </cell>
          <cell r="CH175">
            <v>-922587.3</v>
          </cell>
          <cell r="CI175">
            <v>-392608.46</v>
          </cell>
          <cell r="CJ175">
            <v>-759656.77</v>
          </cell>
          <cell r="CK175">
            <v>-1093791.74</v>
          </cell>
          <cell r="CL175">
            <v>-554779.67000000004</v>
          </cell>
          <cell r="CM175">
            <v>-830140.99</v>
          </cell>
          <cell r="CN175">
            <v>-164253.96</v>
          </cell>
          <cell r="CO175">
            <v>-554767.04</v>
          </cell>
          <cell r="CP175">
            <v>-826257.62</v>
          </cell>
          <cell r="CQ175">
            <v>-1100378.3700000001</v>
          </cell>
          <cell r="CR175">
            <v>-443971.49</v>
          </cell>
          <cell r="CS175">
            <v>-739799.14</v>
          </cell>
          <cell r="CT175">
            <v>-1053546.92</v>
          </cell>
          <cell r="CU175">
            <v>-419642.6</v>
          </cell>
          <cell r="CV175">
            <v>-579087.52</v>
          </cell>
          <cell r="CW175">
            <v>-724083.92</v>
          </cell>
          <cell r="CX175">
            <v>-231097.56</v>
          </cell>
          <cell r="CY175">
            <v>-704721.25</v>
          </cell>
          <cell r="CZ175">
            <v>-90158.62</v>
          </cell>
          <cell r="DA175">
            <v>-366164.03</v>
          </cell>
          <cell r="DB175">
            <v>-589138.4</v>
          </cell>
          <cell r="DC175">
            <v>-1025751.13</v>
          </cell>
          <cell r="DD175">
            <v>-557382.72</v>
          </cell>
          <cell r="DE175">
            <v>-894938.49</v>
          </cell>
          <cell r="DF175">
            <v>-84282.14</v>
          </cell>
          <cell r="DG175">
            <v>-384386.37</v>
          </cell>
          <cell r="DH175">
            <v>-397515.32</v>
          </cell>
        </row>
        <row r="176">
          <cell r="A176" t="str">
            <v>2190000</v>
          </cell>
          <cell r="B176" t="str">
            <v>2190000</v>
          </cell>
          <cell r="C176" t="str">
            <v>OCI Other Pretax</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row>
        <row r="177">
          <cell r="A177" t="str">
            <v>2190001</v>
          </cell>
          <cell r="B177" t="str">
            <v>2190001</v>
          </cell>
          <cell r="C177" t="str">
            <v>OCI Other Taxes</v>
          </cell>
          <cell r="E177">
            <v>0</v>
          </cell>
          <cell r="F177">
            <v>0</v>
          </cell>
          <cell r="G177">
            <v>0</v>
          </cell>
          <cell r="H177">
            <v>919.51</v>
          </cell>
          <cell r="I177">
            <v>0</v>
          </cell>
          <cell r="J177">
            <v>0</v>
          </cell>
          <cell r="K177">
            <v>0</v>
          </cell>
          <cell r="L177">
            <v>0</v>
          </cell>
          <cell r="M177">
            <v>0</v>
          </cell>
          <cell r="N177">
            <v>0</v>
          </cell>
          <cell r="O177">
            <v>0</v>
          </cell>
          <cell r="P177">
            <v>0</v>
          </cell>
          <cell r="Q177">
            <v>0</v>
          </cell>
          <cell r="R177">
            <v>0</v>
          </cell>
          <cell r="S177">
            <v>10617.35</v>
          </cell>
          <cell r="T177">
            <v>0</v>
          </cell>
          <cell r="U177">
            <v>-72439.19</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row>
        <row r="178">
          <cell r="A178" t="str">
            <v>2190010</v>
          </cell>
          <cell r="B178" t="str">
            <v>2190010</v>
          </cell>
          <cell r="C178" t="str">
            <v>OCI Pension Pretax</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row>
        <row r="179">
          <cell r="A179" t="str">
            <v>2190011</v>
          </cell>
          <cell r="B179" t="str">
            <v>2190011</v>
          </cell>
          <cell r="C179" t="str">
            <v>OCI Pension Taxes</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row>
        <row r="180">
          <cell r="A180" t="str">
            <v>2190020</v>
          </cell>
          <cell r="B180" t="str">
            <v>2190020</v>
          </cell>
          <cell r="C180" t="str">
            <v>OCI SERP Pretax</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row>
        <row r="181">
          <cell r="A181" t="str">
            <v>2190030</v>
          </cell>
          <cell r="B181" t="str">
            <v>2190030</v>
          </cell>
          <cell r="C181" t="str">
            <v>OCI FAS106 Pretax</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row>
        <row r="182">
          <cell r="A182" t="str">
            <v>2190031</v>
          </cell>
          <cell r="B182" t="str">
            <v>2190031</v>
          </cell>
          <cell r="C182" t="str">
            <v>OCI FAS106 Taxes</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row>
        <row r="183">
          <cell r="A183" t="str">
            <v>2190040</v>
          </cell>
          <cell r="B183" t="str">
            <v>2190040</v>
          </cell>
          <cell r="C183" t="str">
            <v>OCI CF Hedge Pretax</v>
          </cell>
          <cell r="D183">
            <v>2978184.09</v>
          </cell>
          <cell r="E183">
            <v>2941702.14</v>
          </cell>
          <cell r="F183">
            <v>2905220.19</v>
          </cell>
          <cell r="G183">
            <v>2868738.24</v>
          </cell>
          <cell r="H183">
            <v>2829872.61</v>
          </cell>
          <cell r="I183">
            <v>2806115.56</v>
          </cell>
          <cell r="J183">
            <v>2769604.84</v>
          </cell>
          <cell r="K183">
            <v>2733094.12</v>
          </cell>
          <cell r="L183">
            <v>2696583.4</v>
          </cell>
          <cell r="M183">
            <v>2660072.6800000002</v>
          </cell>
          <cell r="N183">
            <v>2623561.96</v>
          </cell>
          <cell r="O183">
            <v>2587051.2400000002</v>
          </cell>
          <cell r="P183">
            <v>2550540.52</v>
          </cell>
          <cell r="Q183">
            <v>2514029.7999999998</v>
          </cell>
          <cell r="R183">
            <v>2477519.08</v>
          </cell>
          <cell r="S183">
            <v>2413484.44</v>
          </cell>
          <cell r="T183">
            <v>2216709.7200000002</v>
          </cell>
          <cell r="U183">
            <v>2020946.92</v>
          </cell>
          <cell r="V183">
            <v>1985400.2</v>
          </cell>
          <cell r="W183">
            <v>1949853.48</v>
          </cell>
          <cell r="X183">
            <v>1914306.76</v>
          </cell>
          <cell r="Y183">
            <v>1878760.04</v>
          </cell>
          <cell r="Z183">
            <v>1843213.32</v>
          </cell>
          <cell r="AA183">
            <v>1807666.6</v>
          </cell>
          <cell r="AB183">
            <v>1772119.88</v>
          </cell>
          <cell r="AC183">
            <v>1736573.16</v>
          </cell>
          <cell r="AD183">
            <v>1701026.44</v>
          </cell>
          <cell r="AE183">
            <v>1665479.72</v>
          </cell>
          <cell r="AF183">
            <v>1629933</v>
          </cell>
          <cell r="AG183">
            <v>1594386.28</v>
          </cell>
          <cell r="AH183">
            <v>1558839.56</v>
          </cell>
          <cell r="AI183">
            <v>1523292.84</v>
          </cell>
          <cell r="AJ183">
            <v>1487746.12</v>
          </cell>
          <cell r="AK183">
            <v>1452199.4</v>
          </cell>
          <cell r="AL183">
            <v>1416652.68</v>
          </cell>
          <cell r="AM183">
            <v>1381105.96</v>
          </cell>
          <cell r="AN183">
            <v>1345559.24</v>
          </cell>
          <cell r="AO183">
            <v>1310012.52</v>
          </cell>
          <cell r="AP183">
            <v>1274465.8</v>
          </cell>
          <cell r="AQ183">
            <v>1238919.08</v>
          </cell>
          <cell r="AR183">
            <v>1203372.3600000001</v>
          </cell>
          <cell r="AS183">
            <v>1167825.6399999999</v>
          </cell>
          <cell r="AT183">
            <v>1132278.92</v>
          </cell>
          <cell r="AU183">
            <v>1096732.2</v>
          </cell>
          <cell r="AV183">
            <v>1061185.48</v>
          </cell>
          <cell r="AW183">
            <v>1025638.76</v>
          </cell>
          <cell r="AX183">
            <v>990092.04</v>
          </cell>
          <cell r="AY183">
            <v>954545.32</v>
          </cell>
          <cell r="AZ183">
            <v>918998.6</v>
          </cell>
          <cell r="BA183">
            <v>883451.88</v>
          </cell>
          <cell r="BB183">
            <v>847905.16</v>
          </cell>
          <cell r="BC183">
            <v>812358.44</v>
          </cell>
          <cell r="BD183">
            <v>776811.72</v>
          </cell>
          <cell r="BE183">
            <v>757664.02</v>
          </cell>
          <cell r="BF183">
            <v>754915.08</v>
          </cell>
          <cell r="BG183">
            <v>752166.14</v>
          </cell>
          <cell r="BH183">
            <v>749417.2</v>
          </cell>
          <cell r="BI183">
            <v>746668.26</v>
          </cell>
          <cell r="BJ183">
            <v>743919.32</v>
          </cell>
          <cell r="BK183">
            <v>741170.38</v>
          </cell>
          <cell r="BL183">
            <v>738421.44</v>
          </cell>
          <cell r="BM183">
            <v>735672.5</v>
          </cell>
          <cell r="BN183">
            <v>732923.56</v>
          </cell>
          <cell r="BO183">
            <v>730174.62</v>
          </cell>
          <cell r="BP183">
            <v>727425.68</v>
          </cell>
          <cell r="BQ183">
            <v>724676.74</v>
          </cell>
          <cell r="BR183">
            <v>721927.8</v>
          </cell>
          <cell r="BS183">
            <v>719178.86</v>
          </cell>
          <cell r="BT183">
            <v>716429.92</v>
          </cell>
          <cell r="BU183">
            <v>713680.98</v>
          </cell>
          <cell r="BV183">
            <v>710932.04</v>
          </cell>
          <cell r="BW183">
            <v>708183.1</v>
          </cell>
          <cell r="BX183">
            <v>705434.16</v>
          </cell>
          <cell r="BY183">
            <v>702685.22</v>
          </cell>
          <cell r="BZ183">
            <v>699936.28</v>
          </cell>
          <cell r="CA183">
            <v>697187.34</v>
          </cell>
          <cell r="CB183">
            <v>694438.40000000002</v>
          </cell>
          <cell r="CC183">
            <v>691689.46</v>
          </cell>
          <cell r="CD183">
            <v>688940.52</v>
          </cell>
          <cell r="CE183">
            <v>686191.58</v>
          </cell>
          <cell r="CF183">
            <v>683442.64</v>
          </cell>
          <cell r="CG183">
            <v>680693.7</v>
          </cell>
          <cell r="CH183">
            <v>677944.76</v>
          </cell>
          <cell r="CI183">
            <v>675195.82</v>
          </cell>
          <cell r="CJ183">
            <v>672446.88</v>
          </cell>
          <cell r="CK183">
            <v>669697.93999999994</v>
          </cell>
          <cell r="CL183">
            <v>666949</v>
          </cell>
          <cell r="CM183">
            <v>664200.06000000006</v>
          </cell>
          <cell r="CN183">
            <v>661438.32999999996</v>
          </cell>
          <cell r="CO183">
            <v>658689.39</v>
          </cell>
          <cell r="CP183">
            <v>655940.44999999995</v>
          </cell>
          <cell r="CQ183">
            <v>653191.51</v>
          </cell>
          <cell r="CR183">
            <v>650442.56999999995</v>
          </cell>
          <cell r="CS183">
            <v>647693.63</v>
          </cell>
          <cell r="CT183">
            <v>644944.68999999994</v>
          </cell>
          <cell r="CU183">
            <v>642195.75</v>
          </cell>
          <cell r="CV183">
            <v>639446.81000000006</v>
          </cell>
          <cell r="CW183">
            <v>636697.87</v>
          </cell>
          <cell r="CX183">
            <v>633948.93000000005</v>
          </cell>
          <cell r="CY183">
            <v>631199.99</v>
          </cell>
          <cell r="CZ183">
            <v>628451.05000000005</v>
          </cell>
          <cell r="DA183">
            <v>625702.11</v>
          </cell>
          <cell r="DB183">
            <v>622953.17000000004</v>
          </cell>
          <cell r="DC183">
            <v>620204.23</v>
          </cell>
          <cell r="DD183">
            <v>617455.29</v>
          </cell>
          <cell r="DE183">
            <v>614706.35</v>
          </cell>
          <cell r="DF183">
            <v>611957.41</v>
          </cell>
          <cell r="DG183">
            <v>609208.47</v>
          </cell>
          <cell r="DH183">
            <v>606459.53</v>
          </cell>
        </row>
        <row r="184">
          <cell r="A184" t="str">
            <v>2190041</v>
          </cell>
          <cell r="B184" t="str">
            <v>2190041</v>
          </cell>
          <cell r="C184" t="str">
            <v>OCI CF Hedge Taxes</v>
          </cell>
          <cell r="D184">
            <v>-1148834.5900000001</v>
          </cell>
          <cell r="E184">
            <v>-1134761.68</v>
          </cell>
          <cell r="F184">
            <v>-1120688.77</v>
          </cell>
          <cell r="G184">
            <v>-1106615.8500000001</v>
          </cell>
          <cell r="H184">
            <v>-1091623.43</v>
          </cell>
          <cell r="I184">
            <v>-1082459.17</v>
          </cell>
          <cell r="J184">
            <v>-1068375.1499999999</v>
          </cell>
          <cell r="K184">
            <v>-1054291.1399999999</v>
          </cell>
          <cell r="L184">
            <v>-1040207.13</v>
          </cell>
          <cell r="M184">
            <v>-1026123.12</v>
          </cell>
          <cell r="N184">
            <v>-1012039.11</v>
          </cell>
          <cell r="O184">
            <v>-997955.09</v>
          </cell>
          <cell r="P184">
            <v>-983871.08</v>
          </cell>
          <cell r="Q184">
            <v>-969787.08</v>
          </cell>
          <cell r="R184">
            <v>-955703.07</v>
          </cell>
          <cell r="S184">
            <v>-931001.69</v>
          </cell>
          <cell r="T184">
            <v>-855095.85</v>
          </cell>
          <cell r="U184">
            <v>-779580.35</v>
          </cell>
          <cell r="V184">
            <v>-765868.21</v>
          </cell>
          <cell r="W184">
            <v>-752156.06</v>
          </cell>
          <cell r="X184">
            <v>-738443.91</v>
          </cell>
          <cell r="Y184">
            <v>-724731.76</v>
          </cell>
          <cell r="Z184">
            <v>-711019.61</v>
          </cell>
          <cell r="AA184">
            <v>-697307.47</v>
          </cell>
          <cell r="AB184">
            <v>-683595.32</v>
          </cell>
          <cell r="AC184">
            <v>-669883.18000000005</v>
          </cell>
          <cell r="AD184">
            <v>-656171.02</v>
          </cell>
          <cell r="AE184">
            <v>-642458.88</v>
          </cell>
          <cell r="AF184">
            <v>-628746.74</v>
          </cell>
          <cell r="AG184">
            <v>-615034.59</v>
          </cell>
          <cell r="AH184">
            <v>-601322.44999999995</v>
          </cell>
          <cell r="AI184">
            <v>-587610.29</v>
          </cell>
          <cell r="AJ184">
            <v>-573898.15</v>
          </cell>
          <cell r="AK184">
            <v>-560186</v>
          </cell>
          <cell r="AL184">
            <v>-546473.86</v>
          </cell>
          <cell r="AM184">
            <v>-532761.71</v>
          </cell>
          <cell r="AN184">
            <v>-519049.55</v>
          </cell>
          <cell r="AO184">
            <v>-505337.41</v>
          </cell>
          <cell r="AP184">
            <v>-491625.26</v>
          </cell>
          <cell r="AQ184">
            <v>-477913.12</v>
          </cell>
          <cell r="AR184">
            <v>-464200.97</v>
          </cell>
          <cell r="AS184">
            <v>-450488.82</v>
          </cell>
          <cell r="AT184">
            <v>-436776.67</v>
          </cell>
          <cell r="AU184">
            <v>-423064.53</v>
          </cell>
          <cell r="AV184">
            <v>-409352.38</v>
          </cell>
          <cell r="AW184">
            <v>-395640.23</v>
          </cell>
          <cell r="AX184">
            <v>-381928.08</v>
          </cell>
          <cell r="AY184">
            <v>-368215.93</v>
          </cell>
          <cell r="AZ184">
            <v>-410937.76</v>
          </cell>
          <cell r="BA184">
            <v>-401928.44</v>
          </cell>
          <cell r="BB184">
            <v>-392919.13</v>
          </cell>
          <cell r="BC184">
            <v>-383909.81</v>
          </cell>
          <cell r="BD184">
            <v>-374900.5</v>
          </cell>
          <cell r="BE184">
            <v>-370047.51</v>
          </cell>
          <cell r="BF184">
            <v>-369350.79</v>
          </cell>
          <cell r="BG184">
            <v>-368654.06</v>
          </cell>
          <cell r="BH184">
            <v>-367957.36</v>
          </cell>
          <cell r="BI184">
            <v>-367260.64</v>
          </cell>
          <cell r="BJ184">
            <v>-366563.92</v>
          </cell>
          <cell r="BK184">
            <v>-365867.2</v>
          </cell>
          <cell r="BL184">
            <v>-365170.49</v>
          </cell>
          <cell r="BM184">
            <v>-364473.77</v>
          </cell>
          <cell r="BN184">
            <v>-363777.06</v>
          </cell>
          <cell r="BO184">
            <v>-363080.33</v>
          </cell>
          <cell r="BP184">
            <v>-362383.61</v>
          </cell>
          <cell r="BQ184">
            <v>-361686.89</v>
          </cell>
          <cell r="BR184">
            <v>-360990.18</v>
          </cell>
          <cell r="BS184">
            <v>-360293.46</v>
          </cell>
          <cell r="BT184">
            <v>-359596.74</v>
          </cell>
          <cell r="BU184">
            <v>-358900.01</v>
          </cell>
          <cell r="BV184">
            <v>-358203.3</v>
          </cell>
          <cell r="BW184">
            <v>-357506.58</v>
          </cell>
          <cell r="BX184">
            <v>-356809.86</v>
          </cell>
          <cell r="BY184">
            <v>-356113.14</v>
          </cell>
          <cell r="BZ184">
            <v>-355416.43</v>
          </cell>
          <cell r="CA184">
            <v>-354719.7</v>
          </cell>
          <cell r="CB184">
            <v>-354022.98</v>
          </cell>
          <cell r="CC184">
            <v>-353326.26</v>
          </cell>
          <cell r="CD184">
            <v>-352629.55</v>
          </cell>
          <cell r="CE184">
            <v>-351932.83</v>
          </cell>
          <cell r="CF184">
            <v>-351236.11</v>
          </cell>
          <cell r="CG184">
            <v>-350539.38</v>
          </cell>
          <cell r="CH184">
            <v>-349842.67</v>
          </cell>
          <cell r="CI184">
            <v>-349145.95</v>
          </cell>
          <cell r="CJ184">
            <v>-348449.23</v>
          </cell>
          <cell r="CK184">
            <v>-347752.51</v>
          </cell>
          <cell r="CL184">
            <v>-347055.8</v>
          </cell>
          <cell r="CM184">
            <v>-346359.07</v>
          </cell>
          <cell r="CN184">
            <v>-345662.35</v>
          </cell>
          <cell r="CO184">
            <v>-344965.63</v>
          </cell>
          <cell r="CP184">
            <v>-344268.92</v>
          </cell>
          <cell r="CQ184">
            <v>-343572.2</v>
          </cell>
          <cell r="CR184">
            <v>-342875.48</v>
          </cell>
          <cell r="CS184">
            <v>-342178.75</v>
          </cell>
          <cell r="CT184">
            <v>-341482.04</v>
          </cell>
          <cell r="CU184">
            <v>-340785.32</v>
          </cell>
          <cell r="CV184">
            <v>-340088.6</v>
          </cell>
          <cell r="CW184">
            <v>-339391.88</v>
          </cell>
          <cell r="CX184">
            <v>-338695.17</v>
          </cell>
          <cell r="CY184">
            <v>-337998.44</v>
          </cell>
          <cell r="CZ184">
            <v>-337301.72</v>
          </cell>
          <cell r="DA184">
            <v>-336605</v>
          </cell>
          <cell r="DB184">
            <v>-335908.29</v>
          </cell>
          <cell r="DC184">
            <v>-335211.57</v>
          </cell>
          <cell r="DD184">
            <v>-334514.84999999998</v>
          </cell>
          <cell r="DE184">
            <v>-333818.12</v>
          </cell>
          <cell r="DF184">
            <v>-333121.40999999997</v>
          </cell>
          <cell r="DG184">
            <v>-332424.69</v>
          </cell>
          <cell r="DH184">
            <v>-331727.96999999997</v>
          </cell>
        </row>
        <row r="185">
          <cell r="A185" t="str">
            <v>2190050</v>
          </cell>
          <cell r="B185" t="str">
            <v>2190050</v>
          </cell>
          <cell r="C185" t="str">
            <v>OCI Restor Pretax</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row>
        <row r="186">
          <cell r="A186" t="str">
            <v>2240100</v>
          </cell>
          <cell r="B186" t="str">
            <v>2240100</v>
          </cell>
          <cell r="C186" t="str">
            <v>LTD Recourse C</v>
          </cell>
          <cell r="AR186">
            <v>0</v>
          </cell>
          <cell r="AS186">
            <v>-50000000</v>
          </cell>
          <cell r="AT186">
            <v>-50000000</v>
          </cell>
          <cell r="AU186">
            <v>-50000000</v>
          </cell>
          <cell r="AV186">
            <v>-50000000</v>
          </cell>
          <cell r="AW186">
            <v>-50000000</v>
          </cell>
          <cell r="AX186">
            <v>-50000000</v>
          </cell>
          <cell r="AY186">
            <v>-50000000</v>
          </cell>
          <cell r="AZ186">
            <v>-50000000</v>
          </cell>
          <cell r="BA186">
            <v>-50000000</v>
          </cell>
          <cell r="BB186">
            <v>-50000000</v>
          </cell>
          <cell r="BC186">
            <v>-50000000</v>
          </cell>
          <cell r="BD186">
            <v>-50000000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-46764680</v>
          </cell>
          <cell r="CD186">
            <v>-46764680</v>
          </cell>
          <cell r="CE186">
            <v>-46764680</v>
          </cell>
          <cell r="CF186">
            <v>-46764680</v>
          </cell>
          <cell r="CG186">
            <v>-46764680</v>
          </cell>
          <cell r="CH186">
            <v>-46764680</v>
          </cell>
          <cell r="CI186">
            <v>-46764680</v>
          </cell>
          <cell r="CJ186">
            <v>-46764680</v>
          </cell>
          <cell r="CK186">
            <v>-46764680</v>
          </cell>
          <cell r="CL186">
            <v>-46764680</v>
          </cell>
          <cell r="CM186">
            <v>-46764680</v>
          </cell>
          <cell r="CN186">
            <v>-46764680</v>
          </cell>
          <cell r="CO186">
            <v>0</v>
          </cell>
          <cell r="CP186">
            <v>0</v>
          </cell>
          <cell r="CQ186">
            <v>0</v>
          </cell>
          <cell r="CR186">
            <v>0</v>
          </cell>
          <cell r="CS186">
            <v>-25000000</v>
          </cell>
          <cell r="CT186">
            <v>-25000000</v>
          </cell>
          <cell r="CU186">
            <v>-25000000</v>
          </cell>
          <cell r="CV186">
            <v>-25000000</v>
          </cell>
          <cell r="CW186">
            <v>-25000000</v>
          </cell>
          <cell r="CX186">
            <v>-25000000</v>
          </cell>
          <cell r="CY186">
            <v>-25000000</v>
          </cell>
          <cell r="CZ186">
            <v>-25000000</v>
          </cell>
          <cell r="DA186">
            <v>-25000000</v>
          </cell>
          <cell r="DB186">
            <v>-25000000</v>
          </cell>
          <cell r="DC186">
            <v>-25000000</v>
          </cell>
          <cell r="DD186">
            <v>-25000000</v>
          </cell>
          <cell r="DE186">
            <v>0</v>
          </cell>
          <cell r="DF186">
            <v>0</v>
          </cell>
          <cell r="DG186">
            <v>0</v>
          </cell>
          <cell r="DH186">
            <v>0</v>
          </cell>
        </row>
        <row r="187">
          <cell r="A187" t="str">
            <v>2240200</v>
          </cell>
          <cell r="B187" t="str">
            <v>2240200</v>
          </cell>
          <cell r="C187" t="str">
            <v>LTD Recourse NC</v>
          </cell>
          <cell r="D187">
            <v>-231764680</v>
          </cell>
          <cell r="E187">
            <v>-231764680</v>
          </cell>
          <cell r="F187">
            <v>-231764680</v>
          </cell>
          <cell r="G187">
            <v>-231764680</v>
          </cell>
          <cell r="H187">
            <v>-231764680</v>
          </cell>
          <cell r="I187">
            <v>-241764680</v>
          </cell>
          <cell r="J187">
            <v>-241764680</v>
          </cell>
          <cell r="K187">
            <v>-241764680</v>
          </cell>
          <cell r="L187">
            <v>-241764680</v>
          </cell>
          <cell r="M187">
            <v>-241764680</v>
          </cell>
          <cell r="N187">
            <v>-241764680</v>
          </cell>
          <cell r="O187">
            <v>-241764680</v>
          </cell>
          <cell r="P187">
            <v>-241764680</v>
          </cell>
          <cell r="Q187">
            <v>-241764680</v>
          </cell>
          <cell r="R187">
            <v>-241764680</v>
          </cell>
          <cell r="S187">
            <v>-241764680</v>
          </cell>
          <cell r="T187">
            <v>-241764680</v>
          </cell>
          <cell r="U187">
            <v>-261764680</v>
          </cell>
          <cell r="V187">
            <v>-261764680</v>
          </cell>
          <cell r="W187">
            <v>-261764680</v>
          </cell>
          <cell r="X187">
            <v>-261764680</v>
          </cell>
          <cell r="Y187">
            <v>-261764680</v>
          </cell>
          <cell r="Z187">
            <v>-261764680</v>
          </cell>
          <cell r="AA187">
            <v>-261764680</v>
          </cell>
          <cell r="AB187">
            <v>-261764680</v>
          </cell>
          <cell r="AC187">
            <v>-261764680</v>
          </cell>
          <cell r="AD187">
            <v>-261764680</v>
          </cell>
          <cell r="AE187">
            <v>-261764680</v>
          </cell>
          <cell r="AF187">
            <v>-261764680</v>
          </cell>
          <cell r="AG187">
            <v>-261764680</v>
          </cell>
          <cell r="AH187">
            <v>-261764680</v>
          </cell>
          <cell r="AI187">
            <v>-261764680</v>
          </cell>
          <cell r="AJ187">
            <v>-261764680</v>
          </cell>
          <cell r="AK187">
            <v>-261764680</v>
          </cell>
          <cell r="AL187">
            <v>-261764680</v>
          </cell>
          <cell r="AM187">
            <v>-261764680</v>
          </cell>
          <cell r="AN187">
            <v>-261764680</v>
          </cell>
          <cell r="AO187">
            <v>-261764680</v>
          </cell>
          <cell r="AP187">
            <v>-261764680</v>
          </cell>
          <cell r="AQ187">
            <v>-261764680</v>
          </cell>
          <cell r="AR187">
            <v>-261764680</v>
          </cell>
          <cell r="AS187">
            <v>-211764680</v>
          </cell>
          <cell r="AT187">
            <v>-211764680</v>
          </cell>
          <cell r="AU187">
            <v>-211764680</v>
          </cell>
          <cell r="AV187">
            <v>-211764680</v>
          </cell>
          <cell r="AW187">
            <v>-211764680</v>
          </cell>
          <cell r="AX187">
            <v>-211764680</v>
          </cell>
          <cell r="AY187">
            <v>-211764680</v>
          </cell>
          <cell r="AZ187">
            <v>-211764680</v>
          </cell>
          <cell r="BA187">
            <v>-211764680</v>
          </cell>
          <cell r="BB187">
            <v>-211764680</v>
          </cell>
          <cell r="BC187">
            <v>-211764680</v>
          </cell>
          <cell r="BD187">
            <v>-211764680</v>
          </cell>
          <cell r="BE187">
            <v>-211764680</v>
          </cell>
          <cell r="BF187">
            <v>-286764680</v>
          </cell>
          <cell r="BG187">
            <v>-286764680</v>
          </cell>
          <cell r="BH187">
            <v>-286764680</v>
          </cell>
          <cell r="BI187">
            <v>-286764680</v>
          </cell>
          <cell r="BJ187">
            <v>-311764680</v>
          </cell>
          <cell r="BK187">
            <v>-311764680</v>
          </cell>
          <cell r="BL187">
            <v>-311764680</v>
          </cell>
          <cell r="BM187">
            <v>-311764680</v>
          </cell>
          <cell r="BN187">
            <v>-311764680</v>
          </cell>
          <cell r="BO187">
            <v>-311764680</v>
          </cell>
          <cell r="BP187">
            <v>-311764680</v>
          </cell>
          <cell r="BQ187">
            <v>-311764680</v>
          </cell>
          <cell r="BR187">
            <v>-311764680</v>
          </cell>
          <cell r="BS187">
            <v>-336764680</v>
          </cell>
          <cell r="BT187">
            <v>-336764680</v>
          </cell>
          <cell r="BU187">
            <v>-336764680</v>
          </cell>
          <cell r="BV187">
            <v>-336764680</v>
          </cell>
          <cell r="BW187">
            <v>-336764680</v>
          </cell>
          <cell r="BX187">
            <v>-336764680</v>
          </cell>
          <cell r="BY187">
            <v>-336764680</v>
          </cell>
          <cell r="BZ187">
            <v>-336764680</v>
          </cell>
          <cell r="CA187">
            <v>-336764680</v>
          </cell>
          <cell r="CB187">
            <v>-336764680</v>
          </cell>
          <cell r="CC187">
            <v>-290000000</v>
          </cell>
          <cell r="CD187">
            <v>-290000000</v>
          </cell>
          <cell r="CE187">
            <v>-290000000</v>
          </cell>
          <cell r="CF187">
            <v>-290000000</v>
          </cell>
          <cell r="CG187">
            <v>-290000000</v>
          </cell>
          <cell r="CH187">
            <v>-290000000</v>
          </cell>
          <cell r="CI187">
            <v>-290000000</v>
          </cell>
          <cell r="CJ187">
            <v>-290000000</v>
          </cell>
          <cell r="CK187">
            <v>-290000000</v>
          </cell>
          <cell r="CL187">
            <v>-290000000</v>
          </cell>
          <cell r="CM187">
            <v>-520000000</v>
          </cell>
          <cell r="CN187">
            <v>-520000000</v>
          </cell>
          <cell r="CO187">
            <v>-520000000</v>
          </cell>
          <cell r="CP187">
            <v>-520000000</v>
          </cell>
          <cell r="CQ187">
            <v>-520000000</v>
          </cell>
          <cell r="CR187">
            <v>-520000000</v>
          </cell>
          <cell r="CS187">
            <v>-495000000</v>
          </cell>
          <cell r="CT187">
            <v>-495000000</v>
          </cell>
          <cell r="CU187">
            <v>-495000000</v>
          </cell>
          <cell r="CV187">
            <v>-495000000</v>
          </cell>
          <cell r="CW187">
            <v>-495000000</v>
          </cell>
          <cell r="CX187">
            <v>-495000000</v>
          </cell>
          <cell r="CY187">
            <v>-495000000</v>
          </cell>
          <cell r="CZ187">
            <v>-495000000</v>
          </cell>
          <cell r="DA187">
            <v>-495000000</v>
          </cell>
          <cell r="DB187">
            <v>-495000000</v>
          </cell>
          <cell r="DC187">
            <v>-570000000</v>
          </cell>
          <cell r="DD187">
            <v>-570000000</v>
          </cell>
          <cell r="DE187">
            <v>-570000000</v>
          </cell>
          <cell r="DF187">
            <v>-570000000</v>
          </cell>
          <cell r="DG187">
            <v>-570000000</v>
          </cell>
          <cell r="DH187">
            <v>-570000000</v>
          </cell>
        </row>
        <row r="188">
          <cell r="A188" t="str">
            <v>2260200</v>
          </cell>
          <cell r="B188" t="str">
            <v>2260200</v>
          </cell>
          <cell r="C188" t="str">
            <v>UA Disc LTD Recourse</v>
          </cell>
          <cell r="D188">
            <v>422760.18</v>
          </cell>
          <cell r="E188">
            <v>421177.68</v>
          </cell>
          <cell r="F188">
            <v>419595.18</v>
          </cell>
          <cell r="G188">
            <v>418012.68</v>
          </cell>
          <cell r="H188">
            <v>416430.18</v>
          </cell>
          <cell r="I188">
            <v>421547.68</v>
          </cell>
          <cell r="J188">
            <v>419937.26</v>
          </cell>
          <cell r="K188">
            <v>418336.15</v>
          </cell>
          <cell r="L188">
            <v>416735.04</v>
          </cell>
          <cell r="M188">
            <v>415133.93</v>
          </cell>
          <cell r="N188">
            <v>413532.82</v>
          </cell>
          <cell r="O188">
            <v>411931.71</v>
          </cell>
          <cell r="P188">
            <v>410330.6</v>
          </cell>
          <cell r="Q188">
            <v>408729.49</v>
          </cell>
          <cell r="R188">
            <v>407128.38</v>
          </cell>
          <cell r="S188">
            <v>405527.27</v>
          </cell>
          <cell r="T188">
            <v>403926.16</v>
          </cell>
          <cell r="U188">
            <v>439525.05</v>
          </cell>
          <cell r="V188">
            <v>437819.41</v>
          </cell>
          <cell r="W188">
            <v>436114.97</v>
          </cell>
          <cell r="X188">
            <v>434410.53</v>
          </cell>
          <cell r="Y188">
            <v>432706.09</v>
          </cell>
          <cell r="Z188">
            <v>431001.65</v>
          </cell>
          <cell r="AA188">
            <v>429297.21</v>
          </cell>
          <cell r="AB188">
            <v>427592.77</v>
          </cell>
          <cell r="AC188">
            <v>425888.33</v>
          </cell>
          <cell r="AD188">
            <v>424183.89</v>
          </cell>
          <cell r="AE188">
            <v>422479.45</v>
          </cell>
          <cell r="AF188">
            <v>420775.01</v>
          </cell>
          <cell r="AG188">
            <v>419070.57</v>
          </cell>
          <cell r="AH188">
            <v>417366.13</v>
          </cell>
          <cell r="AI188">
            <v>415661.69</v>
          </cell>
          <cell r="AJ188">
            <v>413957.25</v>
          </cell>
          <cell r="AK188">
            <v>412252.81</v>
          </cell>
          <cell r="AL188">
            <v>410548.37</v>
          </cell>
          <cell r="AM188">
            <v>408843.93</v>
          </cell>
          <cell r="AN188">
            <v>407139.49</v>
          </cell>
          <cell r="AO188">
            <v>405435.05</v>
          </cell>
          <cell r="AP188">
            <v>403730.61</v>
          </cell>
          <cell r="AQ188">
            <v>402026.17</v>
          </cell>
          <cell r="AR188">
            <v>400321.73</v>
          </cell>
          <cell r="AS188">
            <v>398617.29</v>
          </cell>
          <cell r="AT188">
            <v>396912.85</v>
          </cell>
          <cell r="AU188">
            <v>395208.41</v>
          </cell>
          <cell r="AV188">
            <v>393503.97</v>
          </cell>
          <cell r="AW188">
            <v>391799.53</v>
          </cell>
          <cell r="AX188">
            <v>390095.09</v>
          </cell>
          <cell r="AY188">
            <v>388390.65</v>
          </cell>
          <cell r="AZ188">
            <v>386686.21</v>
          </cell>
          <cell r="BA188">
            <v>384981.77</v>
          </cell>
          <cell r="BB188">
            <v>383277.33</v>
          </cell>
          <cell r="BC188">
            <v>381572.89</v>
          </cell>
          <cell r="BD188">
            <v>379868.45</v>
          </cell>
          <cell r="BE188">
            <v>378164.01</v>
          </cell>
          <cell r="BF188">
            <v>571302.51</v>
          </cell>
          <cell r="BG188">
            <v>774522.99</v>
          </cell>
          <cell r="BH188">
            <v>771701.88</v>
          </cell>
          <cell r="BI188">
            <v>768880.77</v>
          </cell>
          <cell r="BJ188">
            <v>893463.71</v>
          </cell>
          <cell r="BK188">
            <v>890295.45</v>
          </cell>
          <cell r="BL188">
            <v>887127.19</v>
          </cell>
          <cell r="BM188">
            <v>883958.93</v>
          </cell>
          <cell r="BN188">
            <v>880790.67</v>
          </cell>
          <cell r="BO188">
            <v>877622.41</v>
          </cell>
          <cell r="BP188">
            <v>874454.15</v>
          </cell>
          <cell r="BQ188">
            <v>871285.89</v>
          </cell>
          <cell r="BR188">
            <v>868117.63</v>
          </cell>
          <cell r="BS188">
            <v>1171449.3700000001</v>
          </cell>
          <cell r="BT188">
            <v>1167456.6100000001</v>
          </cell>
          <cell r="BU188">
            <v>1163462.2</v>
          </cell>
          <cell r="BV188">
            <v>1159467.79</v>
          </cell>
          <cell r="BW188">
            <v>1155473.3799999999</v>
          </cell>
          <cell r="BX188">
            <v>1151478.97</v>
          </cell>
          <cell r="BY188">
            <v>1147484.56</v>
          </cell>
          <cell r="BZ188">
            <v>1143490.1499999999</v>
          </cell>
          <cell r="CA188">
            <v>1139495.74</v>
          </cell>
          <cell r="CB188">
            <v>1135501.33</v>
          </cell>
          <cell r="CC188">
            <v>1131506.92</v>
          </cell>
          <cell r="CD188">
            <v>1127512.51</v>
          </cell>
          <cell r="CE188">
            <v>1123518.1000000001</v>
          </cell>
          <cell r="CF188">
            <v>1119523.69</v>
          </cell>
          <cell r="CG188">
            <v>1115529.28</v>
          </cell>
          <cell r="CH188">
            <v>1111534.8700000001</v>
          </cell>
          <cell r="CI188">
            <v>1107540.46</v>
          </cell>
          <cell r="CJ188">
            <v>1103546.05</v>
          </cell>
          <cell r="CK188">
            <v>1099551.6399999999</v>
          </cell>
          <cell r="CL188">
            <v>1095557.23</v>
          </cell>
          <cell r="CM188">
            <v>1719076.29</v>
          </cell>
          <cell r="CN188">
            <v>1711423.85</v>
          </cell>
          <cell r="CO188">
            <v>1703592.91</v>
          </cell>
          <cell r="CP188">
            <v>1695761.97</v>
          </cell>
          <cell r="CQ188">
            <v>1687931.03</v>
          </cell>
          <cell r="CR188">
            <v>1680100.09</v>
          </cell>
          <cell r="CS188">
            <v>1672269.15</v>
          </cell>
          <cell r="CT188">
            <v>1664438.21</v>
          </cell>
          <cell r="CU188">
            <v>1656607.27</v>
          </cell>
          <cell r="CV188">
            <v>1648776.33</v>
          </cell>
          <cell r="CW188">
            <v>1640945.39</v>
          </cell>
          <cell r="CX188">
            <v>1633114.45</v>
          </cell>
          <cell r="CY188">
            <v>1625283.51</v>
          </cell>
          <cell r="CZ188">
            <v>1617452.57</v>
          </cell>
          <cell r="DA188">
            <v>1609621.63</v>
          </cell>
          <cell r="DB188">
            <v>1601790.69</v>
          </cell>
          <cell r="DC188">
            <v>1654047.7</v>
          </cell>
          <cell r="DD188">
            <v>1645491.83</v>
          </cell>
          <cell r="DE188">
            <v>1636935.96</v>
          </cell>
          <cell r="DF188">
            <v>1628634.26</v>
          </cell>
          <cell r="DG188">
            <v>1620332.56</v>
          </cell>
          <cell r="DH188">
            <v>1612030.86</v>
          </cell>
        </row>
        <row r="189">
          <cell r="A189" t="str">
            <v>2281081</v>
          </cell>
          <cell r="B189" t="str">
            <v>2281081</v>
          </cell>
          <cell r="C189" t="str">
            <v>Storm Reserv-Distrib</v>
          </cell>
          <cell r="D189">
            <v>-263541.84999999998</v>
          </cell>
          <cell r="E189">
            <v>-268333.52</v>
          </cell>
          <cell r="F189">
            <v>-273125.19</v>
          </cell>
          <cell r="G189">
            <v>-277916.86</v>
          </cell>
          <cell r="H189">
            <v>-282708.53000000003</v>
          </cell>
          <cell r="I189">
            <v>-287500.2</v>
          </cell>
          <cell r="J189">
            <v>-292291.87</v>
          </cell>
          <cell r="K189">
            <v>-297083.53999999998</v>
          </cell>
          <cell r="L189">
            <v>-301875.21000000002</v>
          </cell>
          <cell r="M189">
            <v>-306666.88</v>
          </cell>
          <cell r="N189">
            <v>-311458.55</v>
          </cell>
          <cell r="O189">
            <v>-316250.21999999997</v>
          </cell>
          <cell r="P189">
            <v>-321041.89</v>
          </cell>
          <cell r="Q189">
            <v>-325833.56</v>
          </cell>
          <cell r="R189">
            <v>-330625.23</v>
          </cell>
          <cell r="S189">
            <v>-335416.90000000002</v>
          </cell>
          <cell r="T189">
            <v>-340208.57</v>
          </cell>
          <cell r="U189">
            <v>-345000.24</v>
          </cell>
          <cell r="V189">
            <v>-349791.91</v>
          </cell>
          <cell r="W189">
            <v>-354583.58</v>
          </cell>
          <cell r="X189">
            <v>-359375.25</v>
          </cell>
          <cell r="Y189">
            <v>-364166.92</v>
          </cell>
          <cell r="Z189">
            <v>-368958.59</v>
          </cell>
          <cell r="AA189">
            <v>-373750.26</v>
          </cell>
          <cell r="AB189">
            <v>-378541.93</v>
          </cell>
          <cell r="AC189">
            <v>-383333.6</v>
          </cell>
          <cell r="AD189">
            <v>-388125.27</v>
          </cell>
          <cell r="AE189">
            <v>-392916.94</v>
          </cell>
          <cell r="AF189">
            <v>-397708.61</v>
          </cell>
          <cell r="AG189">
            <v>-402500.28</v>
          </cell>
          <cell r="AH189">
            <v>-407291.95</v>
          </cell>
          <cell r="AI189">
            <v>-412083.62</v>
          </cell>
          <cell r="AJ189">
            <v>-416875.29</v>
          </cell>
          <cell r="AK189">
            <v>-421666.96</v>
          </cell>
          <cell r="AL189">
            <v>-426458.63</v>
          </cell>
          <cell r="AM189">
            <v>-431250.3</v>
          </cell>
          <cell r="AN189">
            <v>-333019</v>
          </cell>
          <cell r="AO189">
            <v>-337810.67</v>
          </cell>
          <cell r="AP189">
            <v>-342602.34</v>
          </cell>
          <cell r="AQ189">
            <v>-347394.01</v>
          </cell>
          <cell r="AR189">
            <v>-352185.68</v>
          </cell>
          <cell r="AS189">
            <v>-356977.35</v>
          </cell>
          <cell r="AT189">
            <v>-361769.02</v>
          </cell>
          <cell r="AU189">
            <v>-366560.69</v>
          </cell>
          <cell r="AV189">
            <v>-371352.36</v>
          </cell>
          <cell r="AW189">
            <v>-79066.149999999994</v>
          </cell>
          <cell r="AX189">
            <v>-22974.18</v>
          </cell>
          <cell r="AY189">
            <v>24467.759999999998</v>
          </cell>
          <cell r="AZ189">
            <v>-35999.49</v>
          </cell>
          <cell r="BA189">
            <v>-40791.160000000003</v>
          </cell>
          <cell r="BB189">
            <v>-45582.83</v>
          </cell>
          <cell r="BC189">
            <v>-50374.5</v>
          </cell>
          <cell r="BD189">
            <v>-55166.17</v>
          </cell>
          <cell r="BE189">
            <v>-59957.84</v>
          </cell>
          <cell r="BF189">
            <v>-64749.51</v>
          </cell>
          <cell r="BG189">
            <v>-69541.179999999993</v>
          </cell>
          <cell r="BH189">
            <v>-74332.850000000006</v>
          </cell>
          <cell r="BI189">
            <v>-79124.52</v>
          </cell>
          <cell r="BJ189">
            <v>-83916.19</v>
          </cell>
          <cell r="BK189">
            <v>-88707.86</v>
          </cell>
          <cell r="BL189">
            <v>0</v>
          </cell>
          <cell r="BM189">
            <v>0</v>
          </cell>
          <cell r="BN189">
            <v>-0.49</v>
          </cell>
          <cell r="BO189">
            <v>-4792.16</v>
          </cell>
          <cell r="BP189">
            <v>-9583.83</v>
          </cell>
          <cell r="BQ189">
            <v>-14375.5</v>
          </cell>
          <cell r="BR189">
            <v>-19167.169999999998</v>
          </cell>
          <cell r="BS189">
            <v>-23958.84</v>
          </cell>
          <cell r="BT189">
            <v>-28750.51</v>
          </cell>
          <cell r="BU189">
            <v>-33542.18</v>
          </cell>
          <cell r="BV189">
            <v>-38333.85</v>
          </cell>
          <cell r="BW189">
            <v>-43125.52</v>
          </cell>
          <cell r="BX189">
            <v>-84356.22</v>
          </cell>
          <cell r="BY189">
            <v>-89147.89</v>
          </cell>
          <cell r="BZ189">
            <v>-93939.56</v>
          </cell>
          <cell r="CA189">
            <v>-214598.23</v>
          </cell>
          <cell r="CB189">
            <v>-103522.9</v>
          </cell>
          <cell r="CC189">
            <v>-108314.57</v>
          </cell>
          <cell r="CD189">
            <v>-113106.24000000001</v>
          </cell>
          <cell r="CE189">
            <v>-117897.91</v>
          </cell>
          <cell r="CF189">
            <v>-122689.58</v>
          </cell>
          <cell r="CG189">
            <v>-127481.25</v>
          </cell>
          <cell r="CH189">
            <v>-132272.92000000001</v>
          </cell>
          <cell r="CI189">
            <v>-137064.59</v>
          </cell>
          <cell r="CJ189">
            <v>-141856.26</v>
          </cell>
          <cell r="CK189">
            <v>-173522.93</v>
          </cell>
          <cell r="CL189">
            <v>-205189.6</v>
          </cell>
          <cell r="CM189">
            <v>-236856.27</v>
          </cell>
          <cell r="CN189">
            <v>-268522.94</v>
          </cell>
          <cell r="CO189">
            <v>-300189.61</v>
          </cell>
          <cell r="CP189">
            <v>-331856.28000000003</v>
          </cell>
          <cell r="CQ189">
            <v>-363522.95</v>
          </cell>
          <cell r="CR189">
            <v>-395189.62</v>
          </cell>
          <cell r="CS189">
            <v>-426856.29</v>
          </cell>
          <cell r="CT189">
            <v>-458522.96</v>
          </cell>
          <cell r="CU189">
            <v>-490189.63</v>
          </cell>
          <cell r="CV189">
            <v>-521856.3</v>
          </cell>
          <cell r="CW189">
            <v>-553522.97</v>
          </cell>
          <cell r="CX189">
            <v>-585189.64</v>
          </cell>
          <cell r="CY189">
            <v>-616856.31000000006</v>
          </cell>
          <cell r="CZ189">
            <v>-648522.98</v>
          </cell>
          <cell r="DA189">
            <v>-680189.65</v>
          </cell>
          <cell r="DB189">
            <v>-711856.32</v>
          </cell>
          <cell r="DC189">
            <v>-743522.99</v>
          </cell>
          <cell r="DD189">
            <v>-775189.66</v>
          </cell>
          <cell r="DE189">
            <v>-455977.33</v>
          </cell>
          <cell r="DF189">
            <v>0</v>
          </cell>
          <cell r="DG189">
            <v>0</v>
          </cell>
          <cell r="DH189">
            <v>0</v>
          </cell>
        </row>
        <row r="190">
          <cell r="A190" t="str">
            <v>2281100</v>
          </cell>
          <cell r="B190" t="str">
            <v>2281100</v>
          </cell>
          <cell r="C190" t="str">
            <v>Prov Prop Ins Db C</v>
          </cell>
          <cell r="BJ190">
            <v>0</v>
          </cell>
          <cell r="BK190">
            <v>0</v>
          </cell>
          <cell r="BL190">
            <v>3038523.24</v>
          </cell>
          <cell r="BM190">
            <v>3059430.59</v>
          </cell>
          <cell r="BN190">
            <v>3181714.13</v>
          </cell>
          <cell r="BO190">
            <v>3181714.13</v>
          </cell>
          <cell r="BP190">
            <v>3181714.13</v>
          </cell>
          <cell r="BQ190">
            <v>3181714.13</v>
          </cell>
          <cell r="BR190">
            <v>3181714.13</v>
          </cell>
          <cell r="BS190">
            <v>3181714.13</v>
          </cell>
          <cell r="BT190">
            <v>2606793.09</v>
          </cell>
          <cell r="BU190">
            <v>2000824.87</v>
          </cell>
          <cell r="BV190">
            <v>1396771.82</v>
          </cell>
          <cell r="BW190">
            <v>712832.44</v>
          </cell>
          <cell r="BX190">
            <v>0</v>
          </cell>
          <cell r="BY190">
            <v>0</v>
          </cell>
          <cell r="BZ190">
            <v>0</v>
          </cell>
          <cell r="CA190">
            <v>53720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688616.24</v>
          </cell>
          <cell r="DG190">
            <v>837442.4</v>
          </cell>
          <cell r="DH190">
            <v>0</v>
          </cell>
        </row>
        <row r="191">
          <cell r="A191" t="str">
            <v>2282001</v>
          </cell>
          <cell r="B191" t="str">
            <v>2282001</v>
          </cell>
          <cell r="C191" t="str">
            <v>I&amp;D Gen Liab Resrv C</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-607500</v>
          </cell>
          <cell r="BV191">
            <v>-607500</v>
          </cell>
          <cell r="BW191">
            <v>-742500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-1800000</v>
          </cell>
          <cell r="CW191">
            <v>-1800000</v>
          </cell>
          <cell r="CX191">
            <v>-1800000</v>
          </cell>
          <cell r="CY191">
            <v>0</v>
          </cell>
          <cell r="CZ191">
            <v>0</v>
          </cell>
          <cell r="DA191">
            <v>0</v>
          </cell>
          <cell r="DB191">
            <v>0</v>
          </cell>
          <cell r="DC191">
            <v>0</v>
          </cell>
          <cell r="DD191">
            <v>0</v>
          </cell>
          <cell r="DE191">
            <v>0</v>
          </cell>
          <cell r="DF191">
            <v>0</v>
          </cell>
          <cell r="DG191">
            <v>0</v>
          </cell>
          <cell r="DH191">
            <v>0</v>
          </cell>
        </row>
        <row r="192">
          <cell r="A192" t="str">
            <v>2282010</v>
          </cell>
          <cell r="B192" t="str">
            <v>2282010</v>
          </cell>
          <cell r="C192" t="str">
            <v>I&amp;D Gen Liab Resrv</v>
          </cell>
          <cell r="D192">
            <v>-2977012</v>
          </cell>
          <cell r="E192">
            <v>-3127012</v>
          </cell>
          <cell r="F192">
            <v>-3277012</v>
          </cell>
          <cell r="G192">
            <v>-3284830</v>
          </cell>
          <cell r="H192">
            <v>-3434830</v>
          </cell>
          <cell r="I192">
            <v>-3584830</v>
          </cell>
          <cell r="J192">
            <v>-4252841</v>
          </cell>
          <cell r="K192">
            <v>-4402841</v>
          </cell>
          <cell r="L192">
            <v>-4552841</v>
          </cell>
          <cell r="M192">
            <v>-4374096</v>
          </cell>
          <cell r="N192">
            <v>-4524096</v>
          </cell>
          <cell r="O192">
            <v>-4674096</v>
          </cell>
          <cell r="P192">
            <v>-4913010</v>
          </cell>
          <cell r="Q192">
            <v>-4913010</v>
          </cell>
          <cell r="R192">
            <v>-4913010</v>
          </cell>
          <cell r="S192">
            <v>-4428902</v>
          </cell>
          <cell r="T192">
            <v>-4426359</v>
          </cell>
          <cell r="U192">
            <v>-4426359</v>
          </cell>
          <cell r="V192">
            <v>-4045175</v>
          </cell>
          <cell r="W192">
            <v>-4045175</v>
          </cell>
          <cell r="X192">
            <v>-4045175</v>
          </cell>
          <cell r="Y192">
            <v>-3557213</v>
          </cell>
          <cell r="Z192">
            <v>-3557213</v>
          </cell>
          <cell r="AA192">
            <v>-3557213</v>
          </cell>
          <cell r="AB192">
            <v>-3936382</v>
          </cell>
          <cell r="AC192">
            <v>-3936382</v>
          </cell>
          <cell r="AD192">
            <v>-3936382</v>
          </cell>
          <cell r="AE192">
            <v>-3338502</v>
          </cell>
          <cell r="AF192">
            <v>-3338502</v>
          </cell>
          <cell r="AG192">
            <v>-3338502</v>
          </cell>
          <cell r="AH192">
            <v>-3583536</v>
          </cell>
          <cell r="AI192">
            <v>-3583536</v>
          </cell>
          <cell r="AJ192">
            <v>-3583536</v>
          </cell>
          <cell r="AK192">
            <v>-3284669</v>
          </cell>
          <cell r="AL192">
            <v>-3284669</v>
          </cell>
          <cell r="AM192">
            <v>-3284669</v>
          </cell>
          <cell r="AN192">
            <v>-3317709</v>
          </cell>
          <cell r="AO192">
            <v>-3317709</v>
          </cell>
          <cell r="AP192">
            <v>-3317709</v>
          </cell>
          <cell r="AQ192">
            <v>-2645511</v>
          </cell>
          <cell r="AR192">
            <v>-2645511</v>
          </cell>
          <cell r="AS192">
            <v>-2645511</v>
          </cell>
          <cell r="AT192">
            <v>-5916760</v>
          </cell>
          <cell r="AU192">
            <v>-5916760</v>
          </cell>
          <cell r="AV192">
            <v>-5894260</v>
          </cell>
          <cell r="AW192">
            <v>-2661674</v>
          </cell>
          <cell r="AX192">
            <v>-2661674</v>
          </cell>
          <cell r="AY192">
            <v>-2661674</v>
          </cell>
          <cell r="AZ192">
            <v>-2777927</v>
          </cell>
          <cell r="BA192">
            <v>-2777927</v>
          </cell>
          <cell r="BB192">
            <v>-2777927</v>
          </cell>
          <cell r="BC192">
            <v>-2753888</v>
          </cell>
          <cell r="BD192">
            <v>-2753888</v>
          </cell>
          <cell r="BE192">
            <v>-2753888</v>
          </cell>
          <cell r="BF192">
            <v>-2741302</v>
          </cell>
          <cell r="BG192">
            <v>-2741302</v>
          </cell>
          <cell r="BH192">
            <v>-2741302</v>
          </cell>
          <cell r="BI192">
            <v>-2700808</v>
          </cell>
          <cell r="BJ192">
            <v>-2700808</v>
          </cell>
          <cell r="BK192">
            <v>-2700808</v>
          </cell>
          <cell r="BL192">
            <v>-2833204</v>
          </cell>
          <cell r="BM192">
            <v>-2833204</v>
          </cell>
          <cell r="BN192">
            <v>-2833204</v>
          </cell>
          <cell r="BO192">
            <v>-2833204</v>
          </cell>
          <cell r="BP192">
            <v>-3627465</v>
          </cell>
          <cell r="BQ192">
            <v>-3627465</v>
          </cell>
          <cell r="BR192">
            <v>-3840485</v>
          </cell>
          <cell r="BS192">
            <v>-4840485</v>
          </cell>
          <cell r="BT192">
            <v>-4840485</v>
          </cell>
          <cell r="BU192">
            <v>-3453036</v>
          </cell>
          <cell r="BV192">
            <v>-3453036</v>
          </cell>
          <cell r="BW192">
            <v>-3453036</v>
          </cell>
          <cell r="BX192">
            <v>-4267723</v>
          </cell>
          <cell r="BY192">
            <v>-4267723</v>
          </cell>
          <cell r="BZ192">
            <v>-4267723</v>
          </cell>
          <cell r="CA192">
            <v>-3911280</v>
          </cell>
          <cell r="CB192">
            <v>-3910890</v>
          </cell>
          <cell r="CC192">
            <v>-3910890</v>
          </cell>
          <cell r="CD192">
            <v>-4199570</v>
          </cell>
          <cell r="CE192">
            <v>-4199570</v>
          </cell>
          <cell r="CF192">
            <v>-4199570</v>
          </cell>
          <cell r="CG192">
            <v>-7812307</v>
          </cell>
          <cell r="CH192">
            <v>-7812307</v>
          </cell>
          <cell r="CI192">
            <v>-7812307</v>
          </cell>
          <cell r="CJ192">
            <v>-8586727</v>
          </cell>
          <cell r="CK192">
            <v>-8586727</v>
          </cell>
          <cell r="CL192">
            <v>-8586727</v>
          </cell>
          <cell r="CM192">
            <v>-8517781</v>
          </cell>
          <cell r="CN192">
            <v>-8517302.0099999998</v>
          </cell>
          <cell r="CO192">
            <v>-8517302.0099999998</v>
          </cell>
          <cell r="CP192">
            <v>-10573742</v>
          </cell>
          <cell r="CQ192">
            <v>-10573742</v>
          </cell>
          <cell r="CR192">
            <v>-10573742</v>
          </cell>
          <cell r="CS192">
            <v>-17542979</v>
          </cell>
          <cell r="CT192">
            <v>-13048511</v>
          </cell>
          <cell r="CU192">
            <v>-15625446.68</v>
          </cell>
          <cell r="CV192">
            <v>-25972093</v>
          </cell>
          <cell r="CW192">
            <v>-24472093</v>
          </cell>
          <cell r="CX192">
            <v>-25972093</v>
          </cell>
          <cell r="CY192">
            <v>-23083613</v>
          </cell>
          <cell r="CZ192">
            <v>-22395613</v>
          </cell>
          <cell r="DA192">
            <v>-22117976</v>
          </cell>
          <cell r="DB192">
            <v>-22983340</v>
          </cell>
          <cell r="DC192">
            <v>-21683340</v>
          </cell>
          <cell r="DD192">
            <v>-19853983.199999999</v>
          </cell>
          <cell r="DE192">
            <v>-17775923</v>
          </cell>
          <cell r="DF192">
            <v>-17775923</v>
          </cell>
          <cell r="DG192">
            <v>-17775923</v>
          </cell>
          <cell r="DH192">
            <v>-15167624</v>
          </cell>
        </row>
        <row r="193">
          <cell r="A193" t="str">
            <v>2282020</v>
          </cell>
          <cell r="B193" t="str">
            <v>2282020</v>
          </cell>
          <cell r="C193" t="str">
            <v>I&amp;D Wrk Comp Resrv</v>
          </cell>
          <cell r="AC193">
            <v>35</v>
          </cell>
          <cell r="AD193">
            <v>35</v>
          </cell>
          <cell r="AE193">
            <v>35</v>
          </cell>
          <cell r="AF193">
            <v>35</v>
          </cell>
          <cell r="AG193">
            <v>35</v>
          </cell>
          <cell r="AH193">
            <v>35</v>
          </cell>
          <cell r="AI193">
            <v>35</v>
          </cell>
          <cell r="AJ193">
            <v>35</v>
          </cell>
          <cell r="AK193">
            <v>120</v>
          </cell>
          <cell r="AL193">
            <v>154</v>
          </cell>
          <cell r="AM193">
            <v>1140.5</v>
          </cell>
          <cell r="AN193">
            <v>4888.6000000000004</v>
          </cell>
          <cell r="AO193">
            <v>6979.4</v>
          </cell>
          <cell r="AP193">
            <v>8118.5</v>
          </cell>
          <cell r="AQ193">
            <v>-442495</v>
          </cell>
          <cell r="AR193">
            <v>-442495</v>
          </cell>
          <cell r="AS193">
            <v>-440950.3</v>
          </cell>
          <cell r="AT193">
            <v>-475505</v>
          </cell>
          <cell r="AU193">
            <v>-475505</v>
          </cell>
          <cell r="AV193">
            <v>-471295.58</v>
          </cell>
          <cell r="AW193">
            <v>-448380</v>
          </cell>
          <cell r="AX193">
            <v>-442501.12</v>
          </cell>
          <cell r="AY193">
            <v>-442501.12</v>
          </cell>
          <cell r="AZ193">
            <v>-528120</v>
          </cell>
          <cell r="BA193">
            <v>-528120</v>
          </cell>
          <cell r="BB193">
            <v>-527071.31999999995</v>
          </cell>
          <cell r="BC193">
            <v>-415922</v>
          </cell>
          <cell r="BD193">
            <v>-415675.3</v>
          </cell>
          <cell r="BE193">
            <v>-415675.3</v>
          </cell>
          <cell r="BF193">
            <v>-470941.7</v>
          </cell>
          <cell r="BG193">
            <v>-470767.5</v>
          </cell>
          <cell r="BH193">
            <v>-470695</v>
          </cell>
          <cell r="BI193">
            <v>-530687</v>
          </cell>
          <cell r="BJ193">
            <v>-530599</v>
          </cell>
          <cell r="BK193">
            <v>-530599</v>
          </cell>
          <cell r="BL193">
            <v>-287151</v>
          </cell>
          <cell r="BM193">
            <v>-287151</v>
          </cell>
          <cell r="BN193">
            <v>-287151</v>
          </cell>
          <cell r="BO193">
            <v>-303615</v>
          </cell>
          <cell r="BP193">
            <v>-303615</v>
          </cell>
          <cell r="BQ193">
            <v>-303615</v>
          </cell>
          <cell r="BR193">
            <v>-303447</v>
          </cell>
          <cell r="BS193">
            <v>-303447</v>
          </cell>
          <cell r="BT193">
            <v>-303447</v>
          </cell>
          <cell r="BU193">
            <v>-189856</v>
          </cell>
          <cell r="BV193">
            <v>-189856</v>
          </cell>
          <cell r="BW193">
            <v>-189856</v>
          </cell>
          <cell r="BX193">
            <v>-222241</v>
          </cell>
          <cell r="BY193">
            <v>-221961</v>
          </cell>
          <cell r="BZ193">
            <v>-221961</v>
          </cell>
          <cell r="CA193">
            <v>-242751</v>
          </cell>
          <cell r="CB193">
            <v>-242751</v>
          </cell>
          <cell r="CC193">
            <v>-242751</v>
          </cell>
          <cell r="CD193">
            <v>-260472</v>
          </cell>
          <cell r="CE193">
            <v>-260472</v>
          </cell>
          <cell r="CF193">
            <v>-260472</v>
          </cell>
          <cell r="CG193">
            <v>-259282</v>
          </cell>
          <cell r="CH193">
            <v>-259282</v>
          </cell>
          <cell r="CI193">
            <v>-259282</v>
          </cell>
          <cell r="CJ193">
            <v>-173606</v>
          </cell>
          <cell r="CK193">
            <v>-173606</v>
          </cell>
          <cell r="CL193">
            <v>-173606</v>
          </cell>
          <cell r="CM193">
            <v>-184879</v>
          </cell>
          <cell r="CN193">
            <v>-184879</v>
          </cell>
          <cell r="CO193">
            <v>-184879</v>
          </cell>
          <cell r="CP193">
            <v>-245056</v>
          </cell>
          <cell r="CQ193">
            <v>-243602.4</v>
          </cell>
          <cell r="CR193">
            <v>-243602.4</v>
          </cell>
          <cell r="CS193">
            <v>-211795</v>
          </cell>
          <cell r="CT193">
            <v>-211795</v>
          </cell>
          <cell r="CU193">
            <v>-211795</v>
          </cell>
          <cell r="CV193">
            <v>-202973</v>
          </cell>
          <cell r="CW193">
            <v>-202973</v>
          </cell>
          <cell r="CX193">
            <v>-202973</v>
          </cell>
          <cell r="CY193">
            <v>-220715</v>
          </cell>
          <cell r="CZ193">
            <v>-220715</v>
          </cell>
          <cell r="DA193">
            <v>-220715</v>
          </cell>
          <cell r="DB193">
            <v>-232080</v>
          </cell>
          <cell r="DC193">
            <v>-232080</v>
          </cell>
          <cell r="DD193">
            <v>-232080</v>
          </cell>
          <cell r="DE193">
            <v>-268637</v>
          </cell>
          <cell r="DF193">
            <v>-268637</v>
          </cell>
          <cell r="DG193">
            <v>-268637</v>
          </cell>
          <cell r="DH193">
            <v>-276223</v>
          </cell>
        </row>
        <row r="194">
          <cell r="A194" t="str">
            <v>2282110</v>
          </cell>
          <cell r="B194" t="str">
            <v>2282110</v>
          </cell>
          <cell r="C194" t="str">
            <v>I&amp;D Recoveries GL C</v>
          </cell>
          <cell r="E194">
            <v>0</v>
          </cell>
          <cell r="F194">
            <v>0</v>
          </cell>
          <cell r="G194">
            <v>0</v>
          </cell>
          <cell r="H194">
            <v>0</v>
          </cell>
          <cell r="I194">
            <v>0</v>
          </cell>
          <cell r="J194">
            <v>965548</v>
          </cell>
          <cell r="K194">
            <v>965548</v>
          </cell>
          <cell r="L194">
            <v>965548</v>
          </cell>
          <cell r="M194">
            <v>884065</v>
          </cell>
          <cell r="N194">
            <v>884065</v>
          </cell>
          <cell r="O194">
            <v>884065</v>
          </cell>
          <cell r="P194">
            <v>1561309</v>
          </cell>
          <cell r="Q194">
            <v>1561309</v>
          </cell>
          <cell r="R194">
            <v>1561309</v>
          </cell>
          <cell r="S194">
            <v>1505526</v>
          </cell>
          <cell r="T194">
            <v>1505526</v>
          </cell>
          <cell r="U194">
            <v>1505526</v>
          </cell>
          <cell r="V194">
            <v>1400612</v>
          </cell>
          <cell r="W194">
            <v>1400612</v>
          </cell>
          <cell r="X194">
            <v>1400612</v>
          </cell>
          <cell r="Y194">
            <v>1146619</v>
          </cell>
          <cell r="Z194">
            <v>1146619</v>
          </cell>
          <cell r="AA194">
            <v>1146619</v>
          </cell>
          <cell r="AB194">
            <v>1139255</v>
          </cell>
          <cell r="AC194">
            <v>1139255</v>
          </cell>
          <cell r="AD194">
            <v>1139255</v>
          </cell>
          <cell r="AE194">
            <v>965765</v>
          </cell>
          <cell r="AF194">
            <v>965765</v>
          </cell>
          <cell r="AG194">
            <v>965765</v>
          </cell>
          <cell r="AH194">
            <v>816969</v>
          </cell>
          <cell r="AI194">
            <v>816969</v>
          </cell>
          <cell r="AJ194">
            <v>816969</v>
          </cell>
          <cell r="AK194">
            <v>619034</v>
          </cell>
          <cell r="AL194">
            <v>619034</v>
          </cell>
          <cell r="AM194">
            <v>619034</v>
          </cell>
          <cell r="AN194">
            <v>395451</v>
          </cell>
          <cell r="AO194">
            <v>395451</v>
          </cell>
          <cell r="AP194">
            <v>395451</v>
          </cell>
          <cell r="AQ194">
            <v>170265</v>
          </cell>
          <cell r="AR194">
            <v>170265</v>
          </cell>
          <cell r="AS194">
            <v>170265</v>
          </cell>
          <cell r="AT194">
            <v>3635693</v>
          </cell>
          <cell r="AU194">
            <v>3635693</v>
          </cell>
          <cell r="AV194">
            <v>3635693</v>
          </cell>
          <cell r="AW194">
            <v>0</v>
          </cell>
          <cell r="AX194">
            <v>0</v>
          </cell>
          <cell r="AY194">
            <v>0</v>
          </cell>
          <cell r="AZ194">
            <v>621882</v>
          </cell>
          <cell r="BA194">
            <v>621882</v>
          </cell>
          <cell r="BB194">
            <v>621882</v>
          </cell>
          <cell r="BC194">
            <v>608697</v>
          </cell>
          <cell r="BD194">
            <v>608697</v>
          </cell>
          <cell r="BE194">
            <v>608697</v>
          </cell>
          <cell r="BF194">
            <v>562064</v>
          </cell>
          <cell r="BG194">
            <v>562064</v>
          </cell>
          <cell r="BH194">
            <v>562064</v>
          </cell>
          <cell r="BI194">
            <v>547823</v>
          </cell>
          <cell r="BJ194">
            <v>547823</v>
          </cell>
          <cell r="BK194">
            <v>547823</v>
          </cell>
          <cell r="BL194">
            <v>498949</v>
          </cell>
          <cell r="BM194">
            <v>498949</v>
          </cell>
          <cell r="BN194">
            <v>498949</v>
          </cell>
          <cell r="BO194">
            <v>-295312</v>
          </cell>
          <cell r="BP194">
            <v>498949</v>
          </cell>
          <cell r="BQ194">
            <v>498949</v>
          </cell>
          <cell r="BR194">
            <v>498949</v>
          </cell>
          <cell r="BS194">
            <v>498949</v>
          </cell>
          <cell r="BT194">
            <v>498949</v>
          </cell>
          <cell r="BU194">
            <v>160000</v>
          </cell>
          <cell r="BV194">
            <v>160000</v>
          </cell>
          <cell r="BW194">
            <v>160000</v>
          </cell>
          <cell r="BX194">
            <v>160000</v>
          </cell>
          <cell r="BY194">
            <v>160000</v>
          </cell>
          <cell r="BZ194">
            <v>160000</v>
          </cell>
          <cell r="CA194">
            <v>160000</v>
          </cell>
          <cell r="CB194">
            <v>160000</v>
          </cell>
          <cell r="CC194">
            <v>160000</v>
          </cell>
          <cell r="CD194">
            <v>160000</v>
          </cell>
          <cell r="CE194">
            <v>160000</v>
          </cell>
          <cell r="CF194">
            <v>160000</v>
          </cell>
          <cell r="CG194">
            <v>3862000</v>
          </cell>
          <cell r="CH194">
            <v>3862000</v>
          </cell>
          <cell r="CI194">
            <v>3862000</v>
          </cell>
          <cell r="CJ194">
            <v>3904599</v>
          </cell>
          <cell r="CK194">
            <v>3904599</v>
          </cell>
          <cell r="CL194">
            <v>3904599</v>
          </cell>
          <cell r="CM194">
            <v>3703243</v>
          </cell>
          <cell r="CN194">
            <v>3703243</v>
          </cell>
          <cell r="CO194">
            <v>3703243</v>
          </cell>
          <cell r="CP194">
            <v>5917066</v>
          </cell>
          <cell r="CQ194">
            <v>5917066</v>
          </cell>
          <cell r="CR194">
            <v>5917066</v>
          </cell>
          <cell r="CS194">
            <v>12542012</v>
          </cell>
          <cell r="CT194">
            <v>12542012</v>
          </cell>
          <cell r="CU194">
            <v>12542012</v>
          </cell>
          <cell r="CV194">
            <v>1000000</v>
          </cell>
          <cell r="CW194">
            <v>1000000</v>
          </cell>
          <cell r="CX194">
            <v>1000000</v>
          </cell>
          <cell r="CY194">
            <v>0</v>
          </cell>
          <cell r="CZ194">
            <v>0</v>
          </cell>
          <cell r="DA194">
            <v>0</v>
          </cell>
          <cell r="DB194">
            <v>0</v>
          </cell>
          <cell r="DC194">
            <v>0</v>
          </cell>
          <cell r="DD194">
            <v>0</v>
          </cell>
          <cell r="DE194">
            <v>0</v>
          </cell>
          <cell r="DF194">
            <v>0</v>
          </cell>
          <cell r="DG194">
            <v>0</v>
          </cell>
          <cell r="DH194">
            <v>0</v>
          </cell>
        </row>
        <row r="195">
          <cell r="A195" t="str">
            <v>2282210</v>
          </cell>
          <cell r="B195" t="str">
            <v>2282210</v>
          </cell>
          <cell r="C195" t="str">
            <v>I&amp;D Recoveries GL NC</v>
          </cell>
          <cell r="CJ195">
            <v>0</v>
          </cell>
          <cell r="CK195">
            <v>0</v>
          </cell>
          <cell r="CL195">
            <v>0</v>
          </cell>
          <cell r="CM195">
            <v>0</v>
          </cell>
          <cell r="CN195">
            <v>0</v>
          </cell>
          <cell r="CO195">
            <v>0</v>
          </cell>
          <cell r="CP195">
            <v>0</v>
          </cell>
          <cell r="CQ195">
            <v>0</v>
          </cell>
          <cell r="CR195">
            <v>0</v>
          </cell>
          <cell r="CS195">
            <v>0</v>
          </cell>
          <cell r="CT195">
            <v>0</v>
          </cell>
          <cell r="CU195">
            <v>0</v>
          </cell>
          <cell r="CV195">
            <v>20670478</v>
          </cell>
          <cell r="CW195">
            <v>20670478</v>
          </cell>
          <cell r="CX195">
            <v>20670478</v>
          </cell>
          <cell r="CY195">
            <v>17520008</v>
          </cell>
          <cell r="CZ195">
            <v>17520008</v>
          </cell>
          <cell r="DA195">
            <v>17520008</v>
          </cell>
          <cell r="DB195">
            <v>17458982</v>
          </cell>
          <cell r="DC195">
            <v>17458982</v>
          </cell>
          <cell r="DD195">
            <v>17458982</v>
          </cell>
          <cell r="DE195">
            <v>13448848</v>
          </cell>
          <cell r="DF195">
            <v>13448848</v>
          </cell>
          <cell r="DG195">
            <v>13448848</v>
          </cell>
          <cell r="DH195">
            <v>11720200</v>
          </cell>
        </row>
        <row r="196">
          <cell r="A196" t="str">
            <v>2283200</v>
          </cell>
          <cell r="B196" t="str">
            <v>2283200</v>
          </cell>
          <cell r="C196" t="str">
            <v>Pension Liab NC</v>
          </cell>
          <cell r="D196">
            <v>10238592.390000001</v>
          </cell>
          <cell r="E196">
            <v>11113342.390000001</v>
          </cell>
          <cell r="F196">
            <v>10965092.390000001</v>
          </cell>
          <cell r="G196">
            <v>11595162.390000001</v>
          </cell>
          <cell r="H196">
            <v>12636298.390000001</v>
          </cell>
          <cell r="I196">
            <v>12489295.390000001</v>
          </cell>
          <cell r="J196">
            <v>12342292.390000001</v>
          </cell>
          <cell r="K196">
            <v>13319289.390000001</v>
          </cell>
          <cell r="L196">
            <v>13172286.390000001</v>
          </cell>
          <cell r="M196">
            <v>14161868.390000001</v>
          </cell>
          <cell r="N196">
            <v>14027450.390000001</v>
          </cell>
          <cell r="O196">
            <v>13893032.390000001</v>
          </cell>
          <cell r="P196">
            <v>13758614.390000001</v>
          </cell>
          <cell r="Q196">
            <v>14821655.390000001</v>
          </cell>
          <cell r="R196">
            <v>14678803.390000001</v>
          </cell>
          <cell r="S196">
            <v>14855837.390000001</v>
          </cell>
          <cell r="T196">
            <v>15381871.390000001</v>
          </cell>
          <cell r="U196">
            <v>15125175.390000001</v>
          </cell>
          <cell r="V196">
            <v>14978663.390000001</v>
          </cell>
          <cell r="W196">
            <v>15588151.390000001</v>
          </cell>
          <cell r="X196">
            <v>15197481.390000001</v>
          </cell>
          <cell r="Y196">
            <v>16696969.390000001</v>
          </cell>
          <cell r="Z196">
            <v>16550457.390000001</v>
          </cell>
          <cell r="AA196">
            <v>16403945.390000001</v>
          </cell>
          <cell r="AB196">
            <v>16257433.390000001</v>
          </cell>
          <cell r="AC196">
            <v>16126312.390000001</v>
          </cell>
          <cell r="AD196">
            <v>15995191.390000001</v>
          </cell>
          <cell r="AE196">
            <v>16288070.390000001</v>
          </cell>
          <cell r="AF196">
            <v>17112497.390000001</v>
          </cell>
          <cell r="AG196">
            <v>16975263.390000001</v>
          </cell>
          <cell r="AH196">
            <v>16838029.390000001</v>
          </cell>
          <cell r="AI196">
            <v>17680795.390000001</v>
          </cell>
          <cell r="AJ196">
            <v>17543561.390000001</v>
          </cell>
          <cell r="AK196">
            <v>18356205.390000001</v>
          </cell>
          <cell r="AL196">
            <v>18215624.390000001</v>
          </cell>
          <cell r="AM196">
            <v>18075043.390000001</v>
          </cell>
          <cell r="AN196">
            <v>17934462.390000001</v>
          </cell>
          <cell r="AO196">
            <v>18777571.390000001</v>
          </cell>
          <cell r="AP196">
            <v>18650259.390000001</v>
          </cell>
          <cell r="AQ196">
            <v>18977832.390000001</v>
          </cell>
          <cell r="AR196">
            <v>19918520.390000001</v>
          </cell>
          <cell r="AS196">
            <v>19791208.390000001</v>
          </cell>
          <cell r="AT196">
            <v>19590161.390000001</v>
          </cell>
          <cell r="AU196">
            <v>20518125.390000001</v>
          </cell>
          <cell r="AV196">
            <v>20378524.390000001</v>
          </cell>
          <cell r="AW196">
            <v>21306487.390000001</v>
          </cell>
          <cell r="AX196">
            <v>21166886.390000001</v>
          </cell>
          <cell r="AY196">
            <v>21027285.390000001</v>
          </cell>
          <cell r="AZ196">
            <v>20887684.390000001</v>
          </cell>
          <cell r="BA196">
            <v>21678143.390000001</v>
          </cell>
          <cell r="BB196">
            <v>21548754.390000001</v>
          </cell>
          <cell r="BC196">
            <v>21419365.390000001</v>
          </cell>
          <cell r="BD196">
            <v>21289976.390000001</v>
          </cell>
          <cell r="BE196">
            <v>21030394.390000001</v>
          </cell>
          <cell r="BF196">
            <v>20874966.390000001</v>
          </cell>
          <cell r="BG196">
            <v>20719538.390000001</v>
          </cell>
          <cell r="BH196">
            <v>20564110.390000001</v>
          </cell>
          <cell r="BI196">
            <v>20408682.390000001</v>
          </cell>
          <cell r="BJ196">
            <v>20253254.390000001</v>
          </cell>
          <cell r="BK196">
            <v>20097826.390000001</v>
          </cell>
          <cell r="BL196">
            <v>19942398.390000001</v>
          </cell>
          <cell r="BM196">
            <v>19808286.390000001</v>
          </cell>
          <cell r="BN196">
            <v>19674174.390000001</v>
          </cell>
          <cell r="BO196">
            <v>19540062.390000001</v>
          </cell>
          <cell r="BP196">
            <v>20244950.390000001</v>
          </cell>
          <cell r="BQ196">
            <v>20110838.390000001</v>
          </cell>
          <cell r="BR196">
            <v>20051012.390000001</v>
          </cell>
          <cell r="BS196">
            <v>20768280.390000001</v>
          </cell>
          <cell r="BT196">
            <v>20646548.390000001</v>
          </cell>
          <cell r="BU196">
            <v>21363816.390000001</v>
          </cell>
          <cell r="BV196">
            <v>21242084.390000001</v>
          </cell>
          <cell r="BW196">
            <v>21096376.390000001</v>
          </cell>
          <cell r="BX196">
            <v>20912147.390000001</v>
          </cell>
          <cell r="BY196">
            <v>21424731.390000001</v>
          </cell>
          <cell r="BZ196">
            <v>21277315.390000001</v>
          </cell>
          <cell r="CA196">
            <v>21129899.390000001</v>
          </cell>
          <cell r="CB196">
            <v>21642483.390000001</v>
          </cell>
          <cell r="CC196">
            <v>21495067.390000001</v>
          </cell>
          <cell r="CD196">
            <v>21276473.390000001</v>
          </cell>
          <cell r="CE196">
            <v>21777193.390000001</v>
          </cell>
          <cell r="CF196">
            <v>21617913.390000001</v>
          </cell>
          <cell r="CG196">
            <v>22118633.390000001</v>
          </cell>
          <cell r="CH196">
            <v>21959353.390000001</v>
          </cell>
          <cell r="CI196">
            <v>21800073.390000001</v>
          </cell>
          <cell r="CJ196">
            <v>21640793.390000001</v>
          </cell>
          <cell r="CK196">
            <v>22289760.390000001</v>
          </cell>
          <cell r="CL196">
            <v>22137727.390000001</v>
          </cell>
          <cell r="CM196">
            <v>21985550.390000001</v>
          </cell>
          <cell r="CN196">
            <v>22634517.390000001</v>
          </cell>
          <cell r="CO196">
            <v>22482484.390000001</v>
          </cell>
          <cell r="CP196">
            <v>22330451.390000001</v>
          </cell>
          <cell r="CQ196">
            <v>22795460.390000001</v>
          </cell>
          <cell r="CR196">
            <v>22617148.390000001</v>
          </cell>
          <cell r="CS196">
            <v>23239836.390000001</v>
          </cell>
          <cell r="CT196">
            <v>23061524.390000001</v>
          </cell>
          <cell r="CU196">
            <v>22883212.390000001</v>
          </cell>
          <cell r="CV196">
            <v>22704900.390000001</v>
          </cell>
          <cell r="CW196">
            <v>-2208277.61</v>
          </cell>
          <cell r="CX196">
            <v>0</v>
          </cell>
          <cell r="CY196">
            <v>0</v>
          </cell>
          <cell r="CZ196">
            <v>0</v>
          </cell>
          <cell r="DA196">
            <v>0</v>
          </cell>
          <cell r="DB196">
            <v>0</v>
          </cell>
          <cell r="DC196">
            <v>0</v>
          </cell>
          <cell r="DD196">
            <v>0</v>
          </cell>
          <cell r="DE196">
            <v>0</v>
          </cell>
          <cell r="DF196">
            <v>0</v>
          </cell>
          <cell r="DG196">
            <v>0</v>
          </cell>
          <cell r="DH196">
            <v>27332089</v>
          </cell>
        </row>
        <row r="197">
          <cell r="A197" t="str">
            <v>2283201</v>
          </cell>
          <cell r="B197" t="str">
            <v>2283201</v>
          </cell>
          <cell r="C197" t="str">
            <v>Pension FAS158 NC</v>
          </cell>
          <cell r="D197">
            <v>-15209123</v>
          </cell>
          <cell r="E197">
            <v>-15209123</v>
          </cell>
          <cell r="F197">
            <v>-15209123</v>
          </cell>
          <cell r="G197">
            <v>-14877501</v>
          </cell>
          <cell r="H197">
            <v>-14877501</v>
          </cell>
          <cell r="I197">
            <v>-14877501</v>
          </cell>
          <cell r="J197">
            <v>-14551549</v>
          </cell>
          <cell r="K197">
            <v>-14551549</v>
          </cell>
          <cell r="L197">
            <v>-14551549</v>
          </cell>
          <cell r="M197">
            <v>-14402706</v>
          </cell>
          <cell r="N197">
            <v>-14402706</v>
          </cell>
          <cell r="O197">
            <v>-14402706</v>
          </cell>
          <cell r="P197">
            <v>-17295637</v>
          </cell>
          <cell r="Q197">
            <v>-17295637</v>
          </cell>
          <cell r="R197">
            <v>-17295637</v>
          </cell>
          <cell r="S197">
            <v>-17631988</v>
          </cell>
          <cell r="T197">
            <v>-17631988</v>
          </cell>
          <cell r="U197">
            <v>-17631988</v>
          </cell>
          <cell r="V197">
            <v>-16532273</v>
          </cell>
          <cell r="W197">
            <v>-16532273</v>
          </cell>
          <cell r="X197">
            <v>-16231131</v>
          </cell>
          <cell r="Y197">
            <v>-15849449</v>
          </cell>
          <cell r="Z197">
            <v>-15849449</v>
          </cell>
          <cell r="AA197">
            <v>-15849449</v>
          </cell>
          <cell r="AB197">
            <v>-24128551</v>
          </cell>
          <cell r="AC197">
            <v>-24128551</v>
          </cell>
          <cell r="AD197">
            <v>-24128551</v>
          </cell>
          <cell r="AE197">
            <v>-23800263</v>
          </cell>
          <cell r="AF197">
            <v>-23800263</v>
          </cell>
          <cell r="AG197">
            <v>-23800263</v>
          </cell>
          <cell r="AH197">
            <v>-23362148</v>
          </cell>
          <cell r="AI197">
            <v>-23362148</v>
          </cell>
          <cell r="AJ197">
            <v>-23362148</v>
          </cell>
          <cell r="AK197">
            <v>-30003693</v>
          </cell>
          <cell r="AL197">
            <v>-30003693</v>
          </cell>
          <cell r="AM197">
            <v>-30003693</v>
          </cell>
          <cell r="AN197">
            <v>-27730283</v>
          </cell>
          <cell r="AO197">
            <v>-27730283</v>
          </cell>
          <cell r="AP197">
            <v>-27730283</v>
          </cell>
          <cell r="AQ197">
            <v>-27367286</v>
          </cell>
          <cell r="AR197">
            <v>-27367286</v>
          </cell>
          <cell r="AS197">
            <v>-27367286</v>
          </cell>
          <cell r="AT197">
            <v>-27134155</v>
          </cell>
          <cell r="AU197">
            <v>-27134155</v>
          </cell>
          <cell r="AV197">
            <v>-27134155</v>
          </cell>
          <cell r="AW197">
            <v>-26763244</v>
          </cell>
          <cell r="AX197">
            <v>-26763244</v>
          </cell>
          <cell r="AY197">
            <v>-26763244</v>
          </cell>
          <cell r="AZ197">
            <v>-24001040</v>
          </cell>
          <cell r="BA197">
            <v>-24001040</v>
          </cell>
          <cell r="BB197">
            <v>-24001040</v>
          </cell>
          <cell r="BC197">
            <v>-23590858</v>
          </cell>
          <cell r="BD197">
            <v>-23590858</v>
          </cell>
          <cell r="BE197">
            <v>-23590858</v>
          </cell>
          <cell r="BF197">
            <v>-23181591</v>
          </cell>
          <cell r="BG197">
            <v>-23181591</v>
          </cell>
          <cell r="BH197">
            <v>-23181591</v>
          </cell>
          <cell r="BI197">
            <v>-22771866</v>
          </cell>
          <cell r="BJ197">
            <v>-22771866</v>
          </cell>
          <cell r="BK197">
            <v>-22771866</v>
          </cell>
          <cell r="BL197">
            <v>-29661162</v>
          </cell>
          <cell r="BM197">
            <v>-29661162</v>
          </cell>
          <cell r="BN197">
            <v>-29661162</v>
          </cell>
          <cell r="BO197">
            <v>-29317732</v>
          </cell>
          <cell r="BP197">
            <v>-29317732</v>
          </cell>
          <cell r="BQ197">
            <v>-29317732</v>
          </cell>
          <cell r="BR197">
            <v>-28959087</v>
          </cell>
          <cell r="BS197">
            <v>-28959087</v>
          </cell>
          <cell r="BT197">
            <v>-28959087</v>
          </cell>
          <cell r="BU197">
            <v>-28608049</v>
          </cell>
          <cell r="BV197">
            <v>-28608049</v>
          </cell>
          <cell r="BW197">
            <v>-28608049</v>
          </cell>
          <cell r="BX197">
            <v>-26318985</v>
          </cell>
          <cell r="BY197">
            <v>-26318985</v>
          </cell>
          <cell r="BZ197">
            <v>-26318985</v>
          </cell>
          <cell r="CA197">
            <v>-25845254</v>
          </cell>
          <cell r="CB197">
            <v>-25845254</v>
          </cell>
          <cell r="CC197">
            <v>-25845254</v>
          </cell>
          <cell r="CD197">
            <v>-25377809</v>
          </cell>
          <cell r="CE197">
            <v>-25377809</v>
          </cell>
          <cell r="CF197">
            <v>-25377809</v>
          </cell>
          <cell r="CG197">
            <v>-24907221</v>
          </cell>
          <cell r="CH197">
            <v>-24907221</v>
          </cell>
          <cell r="CI197">
            <v>-24907221</v>
          </cell>
          <cell r="CJ197">
            <v>-23895817</v>
          </cell>
          <cell r="CK197">
            <v>-23895817</v>
          </cell>
          <cell r="CL197">
            <v>-23895817</v>
          </cell>
          <cell r="CM197">
            <v>-23351930</v>
          </cell>
          <cell r="CN197">
            <v>-23351930</v>
          </cell>
          <cell r="CO197">
            <v>-23351930</v>
          </cell>
          <cell r="CP197">
            <v>-22808043</v>
          </cell>
          <cell r="CQ197">
            <v>-22808043</v>
          </cell>
          <cell r="CR197">
            <v>-22808043</v>
          </cell>
          <cell r="CS197">
            <v>-21990611</v>
          </cell>
          <cell r="CT197">
            <v>-21990611</v>
          </cell>
          <cell r="CU197">
            <v>-21990611</v>
          </cell>
          <cell r="CV197">
            <v>-16179024</v>
          </cell>
          <cell r="CW197">
            <v>0</v>
          </cell>
          <cell r="CX197">
            <v>0</v>
          </cell>
          <cell r="CY197">
            <v>0</v>
          </cell>
          <cell r="CZ197">
            <v>0</v>
          </cell>
          <cell r="DA197">
            <v>0</v>
          </cell>
          <cell r="DB197">
            <v>0</v>
          </cell>
          <cell r="DC197">
            <v>0</v>
          </cell>
          <cell r="DD197">
            <v>0</v>
          </cell>
          <cell r="DE197">
            <v>0</v>
          </cell>
          <cell r="DF197">
            <v>0</v>
          </cell>
          <cell r="DG197">
            <v>0</v>
          </cell>
          <cell r="DH197">
            <v>-28878544</v>
          </cell>
        </row>
        <row r="198">
          <cell r="A198" t="str">
            <v>2283202</v>
          </cell>
          <cell r="B198" t="str">
            <v>2283202</v>
          </cell>
          <cell r="C198" t="str">
            <v>Pension Asset NC</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25566831</v>
          </cell>
          <cell r="CX198">
            <v>23248206.390000001</v>
          </cell>
          <cell r="CY198">
            <v>23137859.390000001</v>
          </cell>
          <cell r="CZ198">
            <v>23791512.390000001</v>
          </cell>
          <cell r="DA198">
            <v>23681165.390000001</v>
          </cell>
          <cell r="DB198">
            <v>23504541.390000001</v>
          </cell>
          <cell r="DC198">
            <v>24146607.390000001</v>
          </cell>
          <cell r="DD198">
            <v>24024673.390000001</v>
          </cell>
          <cell r="DE198">
            <v>24666739.390000001</v>
          </cell>
          <cell r="DF198">
            <v>24546965.390000001</v>
          </cell>
          <cell r="DG198">
            <v>24425571.390000001</v>
          </cell>
          <cell r="DH198">
            <v>-3027911.61</v>
          </cell>
        </row>
        <row r="199">
          <cell r="A199" t="str">
            <v>2283203</v>
          </cell>
          <cell r="B199" t="str">
            <v>2283203</v>
          </cell>
          <cell r="C199" t="str">
            <v>Pension A FAS158 NC</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-16179024</v>
          </cell>
          <cell r="CX199">
            <v>-16179024</v>
          </cell>
          <cell r="CY199">
            <v>-15755447</v>
          </cell>
          <cell r="CZ199">
            <v>-15755447</v>
          </cell>
          <cell r="DA199">
            <v>-15755447</v>
          </cell>
          <cell r="DB199">
            <v>-15298969</v>
          </cell>
          <cell r="DC199">
            <v>-15298969</v>
          </cell>
          <cell r="DD199">
            <v>-15298969</v>
          </cell>
          <cell r="DE199">
            <v>-14858942</v>
          </cell>
          <cell r="DF199">
            <v>-14858942</v>
          </cell>
          <cell r="DG199">
            <v>-14858942</v>
          </cell>
          <cell r="DH199">
            <v>0</v>
          </cell>
        </row>
        <row r="200">
          <cell r="A200" t="str">
            <v>2283210</v>
          </cell>
          <cell r="B200" t="str">
            <v>2283210</v>
          </cell>
          <cell r="C200" t="str">
            <v>SERP Liab NC</v>
          </cell>
          <cell r="D200">
            <v>-1160296.98</v>
          </cell>
          <cell r="E200">
            <v>-1133441.3400000001</v>
          </cell>
          <cell r="F200">
            <v>-652840.81999999995</v>
          </cell>
          <cell r="G200">
            <v>-450838</v>
          </cell>
          <cell r="H200">
            <v>-478347.18</v>
          </cell>
          <cell r="I200">
            <v>-500297.36</v>
          </cell>
          <cell r="J200">
            <v>-522247.54</v>
          </cell>
          <cell r="K200">
            <v>-544197.72</v>
          </cell>
          <cell r="L200">
            <v>-206354.2</v>
          </cell>
          <cell r="M200">
            <v>-234652.48</v>
          </cell>
          <cell r="N200">
            <v>-262950.76</v>
          </cell>
          <cell r="O200">
            <v>-291249.03999999998</v>
          </cell>
          <cell r="P200">
            <v>-319547.32</v>
          </cell>
          <cell r="Q200">
            <v>-350097.84</v>
          </cell>
          <cell r="R200">
            <v>-359835.36</v>
          </cell>
          <cell r="S200">
            <v>-336310.88</v>
          </cell>
          <cell r="T200">
            <v>-356457.4</v>
          </cell>
          <cell r="U200">
            <v>-388456.92</v>
          </cell>
          <cell r="V200">
            <v>-410974.44</v>
          </cell>
          <cell r="W200">
            <v>-433491.96</v>
          </cell>
          <cell r="X200">
            <v>-456009.48</v>
          </cell>
          <cell r="Y200">
            <v>-478527</v>
          </cell>
          <cell r="Z200">
            <v>-501044.52</v>
          </cell>
          <cell r="AA200">
            <v>-523562.04</v>
          </cell>
          <cell r="AB200">
            <v>-546079.56000000006</v>
          </cell>
          <cell r="AC200">
            <v>-566461.07999999996</v>
          </cell>
          <cell r="AD200">
            <v>-586842.6</v>
          </cell>
          <cell r="AE200">
            <v>-607224.12</v>
          </cell>
          <cell r="AF200">
            <v>-631075.64</v>
          </cell>
          <cell r="AG200">
            <v>-652324.16</v>
          </cell>
          <cell r="AH200">
            <v>-673572.68</v>
          </cell>
          <cell r="AI200">
            <v>-694821.2</v>
          </cell>
          <cell r="AJ200">
            <v>-716069.72</v>
          </cell>
          <cell r="AK200">
            <v>-667829.24</v>
          </cell>
          <cell r="AL200">
            <v>-698518.76</v>
          </cell>
          <cell r="AM200">
            <v>-729208.28</v>
          </cell>
          <cell r="AN200">
            <v>-759897.8</v>
          </cell>
          <cell r="AO200">
            <v>-1371147.32</v>
          </cell>
          <cell r="AP200">
            <v>-813824.84</v>
          </cell>
          <cell r="AQ200">
            <v>-840788.36</v>
          </cell>
          <cell r="AR200">
            <v>-867751.88</v>
          </cell>
          <cell r="AS200">
            <v>-894715.4</v>
          </cell>
          <cell r="AT200">
            <v>-961897.92</v>
          </cell>
          <cell r="AU200">
            <v>-995564.44</v>
          </cell>
          <cell r="AV200">
            <v>-1032263.44</v>
          </cell>
          <cell r="AW200">
            <v>-1062897.48</v>
          </cell>
          <cell r="AX200">
            <v>-1096564</v>
          </cell>
          <cell r="AY200">
            <v>-1130230.52</v>
          </cell>
          <cell r="AZ200">
            <v>-1163897.04</v>
          </cell>
          <cell r="BA200">
            <v>-1470566.56</v>
          </cell>
          <cell r="BB200">
            <v>-1210632.08</v>
          </cell>
          <cell r="BC200">
            <v>-1233999.6000000001</v>
          </cell>
          <cell r="BD200">
            <v>-1257367.1200000001</v>
          </cell>
          <cell r="BE200">
            <v>-1214115.6399999999</v>
          </cell>
          <cell r="BF200">
            <v>-1261059.1599999999</v>
          </cell>
          <cell r="BG200">
            <v>-1285507.68</v>
          </cell>
          <cell r="BH200">
            <v>-1309613.8400000001</v>
          </cell>
          <cell r="BI200">
            <v>-1334062.3600000001</v>
          </cell>
          <cell r="BJ200">
            <v>-1358510.88</v>
          </cell>
          <cell r="BK200">
            <v>-1383301.76</v>
          </cell>
          <cell r="BL200">
            <v>-1407750.28</v>
          </cell>
          <cell r="BM200">
            <v>-1430350.28</v>
          </cell>
          <cell r="BN200">
            <v>-1452950.28</v>
          </cell>
          <cell r="BO200">
            <v>-1475550.28</v>
          </cell>
          <cell r="BP200">
            <v>-1498150.28</v>
          </cell>
          <cell r="BQ200">
            <v>-1520750.28</v>
          </cell>
          <cell r="BR200">
            <v>-1564731.28</v>
          </cell>
          <cell r="BS200">
            <v>-1590894.28</v>
          </cell>
          <cell r="BT200">
            <v>-1617057.28</v>
          </cell>
          <cell r="BU200">
            <v>-1643220.28</v>
          </cell>
          <cell r="BV200">
            <v>-1669383.28</v>
          </cell>
          <cell r="BW200">
            <v>-1695546.28</v>
          </cell>
          <cell r="BX200">
            <v>-1721709.28</v>
          </cell>
          <cell r="BY200">
            <v>-1732455.28</v>
          </cell>
          <cell r="BZ200">
            <v>-1743201.28</v>
          </cell>
          <cell r="CA200">
            <v>-1753947.28</v>
          </cell>
          <cell r="CB200">
            <v>-1764693.28</v>
          </cell>
          <cell r="CC200">
            <v>-1775439.28</v>
          </cell>
          <cell r="CD200">
            <v>-1791996.28</v>
          </cell>
          <cell r="CE200">
            <v>-1803711.28</v>
          </cell>
          <cell r="CF200">
            <v>-1815426.28</v>
          </cell>
          <cell r="CG200">
            <v>-1827141.28</v>
          </cell>
          <cell r="CH200">
            <v>-1838856.28</v>
          </cell>
          <cell r="CI200">
            <v>-1850571.28</v>
          </cell>
          <cell r="CJ200">
            <v>-1862286.28</v>
          </cell>
          <cell r="CK200">
            <v>-1873443.28</v>
          </cell>
          <cell r="CL200">
            <v>-1884600.28</v>
          </cell>
          <cell r="CM200">
            <v>-760796.28</v>
          </cell>
          <cell r="CN200">
            <v>-771953.28</v>
          </cell>
          <cell r="CO200">
            <v>-783110.28</v>
          </cell>
          <cell r="CP200">
            <v>-794267.28</v>
          </cell>
          <cell r="CQ200">
            <v>-814077.28</v>
          </cell>
          <cell r="CR200">
            <v>-826471.28</v>
          </cell>
          <cell r="CS200">
            <v>-838865.28</v>
          </cell>
          <cell r="CT200">
            <v>-851259.28</v>
          </cell>
          <cell r="CU200">
            <v>-863653.28</v>
          </cell>
          <cell r="CV200">
            <v>-876047.28</v>
          </cell>
          <cell r="CW200">
            <v>-887956.28</v>
          </cell>
          <cell r="CX200">
            <v>-899865.28</v>
          </cell>
          <cell r="CY200">
            <v>-911774.28</v>
          </cell>
          <cell r="CZ200">
            <v>-923683.28</v>
          </cell>
          <cell r="DA200">
            <v>-935592.28</v>
          </cell>
          <cell r="DB200">
            <v>-943940.28</v>
          </cell>
          <cell r="DC200">
            <v>-955256.28</v>
          </cell>
          <cell r="DD200">
            <v>-966572.28</v>
          </cell>
          <cell r="DE200">
            <v>-977888.28</v>
          </cell>
          <cell r="DF200">
            <v>-989204.28</v>
          </cell>
          <cell r="DG200">
            <v>-1000520.28</v>
          </cell>
          <cell r="DH200">
            <v>-1012965.28</v>
          </cell>
        </row>
        <row r="201">
          <cell r="A201" t="str">
            <v>2283211</v>
          </cell>
          <cell r="B201" t="str">
            <v>2283211</v>
          </cell>
          <cell r="C201" t="str">
            <v>SERP FAS158 NC</v>
          </cell>
          <cell r="D201">
            <v>-2750624</v>
          </cell>
          <cell r="E201">
            <v>-2750624</v>
          </cell>
          <cell r="F201">
            <v>-2750624</v>
          </cell>
          <cell r="G201">
            <v>-2701597</v>
          </cell>
          <cell r="H201">
            <v>-2701597</v>
          </cell>
          <cell r="I201">
            <v>-2701597</v>
          </cell>
          <cell r="J201">
            <v>-2640592</v>
          </cell>
          <cell r="K201">
            <v>-2640592</v>
          </cell>
          <cell r="L201">
            <v>-2640592</v>
          </cell>
          <cell r="M201">
            <v>-2585576</v>
          </cell>
          <cell r="N201">
            <v>-2585576</v>
          </cell>
          <cell r="O201">
            <v>-2585576</v>
          </cell>
          <cell r="P201">
            <v>-2779984</v>
          </cell>
          <cell r="Q201">
            <v>-2779984</v>
          </cell>
          <cell r="R201">
            <v>-2779984</v>
          </cell>
          <cell r="S201">
            <v>-2813932</v>
          </cell>
          <cell r="T201">
            <v>-2813932</v>
          </cell>
          <cell r="U201">
            <v>-2813932</v>
          </cell>
          <cell r="V201">
            <v>-2699889</v>
          </cell>
          <cell r="W201">
            <v>-2699889</v>
          </cell>
          <cell r="X201">
            <v>-2699889</v>
          </cell>
          <cell r="Y201">
            <v>-2659841</v>
          </cell>
          <cell r="Z201">
            <v>-2659841</v>
          </cell>
          <cell r="AA201">
            <v>-2659841</v>
          </cell>
          <cell r="AB201">
            <v>-2360028</v>
          </cell>
          <cell r="AC201">
            <v>-2360028</v>
          </cell>
          <cell r="AD201">
            <v>-2360028</v>
          </cell>
          <cell r="AE201">
            <v>-2326845</v>
          </cell>
          <cell r="AF201">
            <v>-2326845</v>
          </cell>
          <cell r="AG201">
            <v>-2326845</v>
          </cell>
          <cell r="AH201">
            <v>-2285965</v>
          </cell>
          <cell r="AI201">
            <v>-2285965</v>
          </cell>
          <cell r="AJ201">
            <v>-2285965</v>
          </cell>
          <cell r="AK201">
            <v>-2491380</v>
          </cell>
          <cell r="AL201">
            <v>-2491380</v>
          </cell>
          <cell r="AM201">
            <v>-2491380</v>
          </cell>
          <cell r="AN201">
            <v>-1703277</v>
          </cell>
          <cell r="AO201">
            <v>-1703277</v>
          </cell>
          <cell r="AP201">
            <v>-1703277</v>
          </cell>
          <cell r="AQ201">
            <v>-1635333</v>
          </cell>
          <cell r="AR201">
            <v>-1635333</v>
          </cell>
          <cell r="AS201">
            <v>-1635333</v>
          </cell>
          <cell r="AT201">
            <v>-1681611</v>
          </cell>
          <cell r="AU201">
            <v>-1681611</v>
          </cell>
          <cell r="AV201">
            <v>-1681611</v>
          </cell>
          <cell r="AW201">
            <v>-1590499</v>
          </cell>
          <cell r="AX201">
            <v>-1590499</v>
          </cell>
          <cell r="AY201">
            <v>-1590499</v>
          </cell>
          <cell r="AZ201">
            <v>-912301</v>
          </cell>
          <cell r="BA201">
            <v>-912301</v>
          </cell>
          <cell r="BB201">
            <v>-912301</v>
          </cell>
          <cell r="BC201">
            <v>-845129</v>
          </cell>
          <cell r="BD201">
            <v>-845129</v>
          </cell>
          <cell r="BE201">
            <v>-845129</v>
          </cell>
          <cell r="BF201">
            <v>-760943</v>
          </cell>
          <cell r="BG201">
            <v>-760943</v>
          </cell>
          <cell r="BH201">
            <v>-760943</v>
          </cell>
          <cell r="BI201">
            <v>-698906</v>
          </cell>
          <cell r="BJ201">
            <v>-698906</v>
          </cell>
          <cell r="BK201">
            <v>-698906</v>
          </cell>
          <cell r="BL201">
            <v>-458297</v>
          </cell>
          <cell r="BM201">
            <v>-458297</v>
          </cell>
          <cell r="BN201">
            <v>-458297</v>
          </cell>
          <cell r="BO201">
            <v>-410557</v>
          </cell>
          <cell r="BP201">
            <v>-410557</v>
          </cell>
          <cell r="BQ201">
            <v>-410557</v>
          </cell>
          <cell r="BR201">
            <v>-340694</v>
          </cell>
          <cell r="BS201">
            <v>-340694</v>
          </cell>
          <cell r="BT201">
            <v>-340694</v>
          </cell>
          <cell r="BU201">
            <v>-281893</v>
          </cell>
          <cell r="BV201">
            <v>-281893</v>
          </cell>
          <cell r="BW201">
            <v>-281893</v>
          </cell>
          <cell r="BX201">
            <v>-27318</v>
          </cell>
          <cell r="BY201">
            <v>-27318</v>
          </cell>
          <cell r="BZ201">
            <v>-27318</v>
          </cell>
          <cell r="CA201">
            <v>-8104</v>
          </cell>
          <cell r="CB201">
            <v>-8104</v>
          </cell>
          <cell r="CC201">
            <v>-8104</v>
          </cell>
          <cell r="CD201">
            <v>16204</v>
          </cell>
          <cell r="CE201">
            <v>16204</v>
          </cell>
          <cell r="CF201">
            <v>16204</v>
          </cell>
          <cell r="CG201">
            <v>37965</v>
          </cell>
          <cell r="CH201">
            <v>37965</v>
          </cell>
          <cell r="CI201">
            <v>37965</v>
          </cell>
          <cell r="CJ201">
            <v>-969808</v>
          </cell>
          <cell r="CK201">
            <v>-969808</v>
          </cell>
          <cell r="CL201">
            <v>-969808</v>
          </cell>
          <cell r="CM201">
            <v>-944717</v>
          </cell>
          <cell r="CN201">
            <v>-944717</v>
          </cell>
          <cell r="CO201">
            <v>-944717</v>
          </cell>
          <cell r="CP201">
            <v>-919626</v>
          </cell>
          <cell r="CQ201">
            <v>-919626</v>
          </cell>
          <cell r="CR201">
            <v>-919626</v>
          </cell>
          <cell r="CS201">
            <v>-885061</v>
          </cell>
          <cell r="CT201">
            <v>-885061</v>
          </cell>
          <cell r="CU201">
            <v>-885061</v>
          </cell>
          <cell r="CV201">
            <v>-966416</v>
          </cell>
          <cell r="CW201">
            <v>-966416</v>
          </cell>
          <cell r="CX201">
            <v>-966416</v>
          </cell>
          <cell r="CY201">
            <v>-940680</v>
          </cell>
          <cell r="CZ201">
            <v>-940680</v>
          </cell>
          <cell r="DA201">
            <v>-940680</v>
          </cell>
          <cell r="DB201">
            <v>-918687</v>
          </cell>
          <cell r="DC201">
            <v>-918687</v>
          </cell>
          <cell r="DD201">
            <v>-918687</v>
          </cell>
          <cell r="DE201">
            <v>-894822</v>
          </cell>
          <cell r="DF201">
            <v>-894822</v>
          </cell>
          <cell r="DG201">
            <v>-894822</v>
          </cell>
          <cell r="DH201">
            <v>-660363</v>
          </cell>
        </row>
        <row r="202">
          <cell r="A202" t="str">
            <v>2283220</v>
          </cell>
          <cell r="B202" t="str">
            <v>2283220</v>
          </cell>
          <cell r="C202" t="str">
            <v>Restoration Liab NC</v>
          </cell>
          <cell r="AF202">
            <v>0</v>
          </cell>
          <cell r="AG202">
            <v>-828.75</v>
          </cell>
          <cell r="AH202">
            <v>-994.5</v>
          </cell>
          <cell r="AI202">
            <v>-1160.25</v>
          </cell>
          <cell r="AJ202">
            <v>-1326</v>
          </cell>
          <cell r="AK202">
            <v>-1498</v>
          </cell>
          <cell r="AL202">
            <v>-1666</v>
          </cell>
          <cell r="AM202">
            <v>-1834</v>
          </cell>
          <cell r="AN202">
            <v>-2002</v>
          </cell>
          <cell r="AO202">
            <v>-2176</v>
          </cell>
          <cell r="AP202">
            <v>-2350</v>
          </cell>
          <cell r="AQ202">
            <v>-2524</v>
          </cell>
          <cell r="AR202">
            <v>-2698</v>
          </cell>
          <cell r="AS202">
            <v>-2872</v>
          </cell>
          <cell r="AT202">
            <v>-21798</v>
          </cell>
          <cell r="AU202">
            <v>-25097</v>
          </cell>
          <cell r="AV202">
            <v>-28396</v>
          </cell>
          <cell r="AW202">
            <v>-31695</v>
          </cell>
          <cell r="AX202">
            <v>-34994</v>
          </cell>
          <cell r="AY202">
            <v>-38293</v>
          </cell>
          <cell r="AZ202">
            <v>-41592</v>
          </cell>
          <cell r="BA202">
            <v>-45174</v>
          </cell>
          <cell r="BB202">
            <v>-48856</v>
          </cell>
          <cell r="BC202">
            <v>-52488</v>
          </cell>
          <cell r="BD202">
            <v>-56120</v>
          </cell>
          <cell r="BE202">
            <v>-73826.75</v>
          </cell>
          <cell r="BF202">
            <v>-84457.75</v>
          </cell>
          <cell r="BG202">
            <v>-95088.75</v>
          </cell>
          <cell r="BH202">
            <v>-105428.75</v>
          </cell>
          <cell r="BI202">
            <v>-115768.75</v>
          </cell>
          <cell r="BJ202">
            <v>-126108.75</v>
          </cell>
          <cell r="BK202">
            <v>-136448.75</v>
          </cell>
          <cell r="BL202">
            <v>-146788.75</v>
          </cell>
          <cell r="BM202">
            <v>-156101.75</v>
          </cell>
          <cell r="BN202">
            <v>-165414.75</v>
          </cell>
          <cell r="BO202">
            <v>-174727.75</v>
          </cell>
          <cell r="BP202">
            <v>-184040.75</v>
          </cell>
          <cell r="BQ202">
            <v>-193353.75</v>
          </cell>
          <cell r="BR202">
            <v>-199557.75</v>
          </cell>
          <cell r="BS202">
            <v>-208351.75</v>
          </cell>
          <cell r="BT202">
            <v>-217145.75</v>
          </cell>
          <cell r="BU202">
            <v>-225939.75</v>
          </cell>
          <cell r="BV202">
            <v>-234733.75</v>
          </cell>
          <cell r="BW202">
            <v>-243527.75</v>
          </cell>
          <cell r="BX202">
            <v>-252321.75</v>
          </cell>
          <cell r="BY202">
            <v>-263762.75</v>
          </cell>
          <cell r="BZ202">
            <v>-275203.75</v>
          </cell>
          <cell r="CA202">
            <v>-286644.75</v>
          </cell>
          <cell r="CB202">
            <v>-298085.75</v>
          </cell>
          <cell r="CC202">
            <v>-309526.75</v>
          </cell>
          <cell r="CD202">
            <v>-362811.75</v>
          </cell>
          <cell r="CE202">
            <v>-381226.75</v>
          </cell>
          <cell r="CF202">
            <v>-399641.75</v>
          </cell>
          <cell r="CG202">
            <v>-418056.75</v>
          </cell>
          <cell r="CH202">
            <v>-436471.75</v>
          </cell>
          <cell r="CI202">
            <v>-454886.75</v>
          </cell>
          <cell r="CJ202">
            <v>-473301.75</v>
          </cell>
          <cell r="CK202">
            <v>-493208.75</v>
          </cell>
          <cell r="CL202">
            <v>-513115.75</v>
          </cell>
          <cell r="CM202">
            <v>-532732.75</v>
          </cell>
          <cell r="CN202">
            <v>-552639.75</v>
          </cell>
          <cell r="CO202">
            <v>-572546.75</v>
          </cell>
          <cell r="CP202">
            <v>-592453.75</v>
          </cell>
          <cell r="CQ202">
            <v>-635709.75</v>
          </cell>
          <cell r="CR202">
            <v>-658951.75</v>
          </cell>
          <cell r="CS202">
            <v>-682193.75</v>
          </cell>
          <cell r="CT202">
            <v>-705435.75</v>
          </cell>
          <cell r="CU202">
            <v>-728677.75</v>
          </cell>
          <cell r="CV202">
            <v>-751919.75</v>
          </cell>
          <cell r="CW202">
            <v>-761845.75</v>
          </cell>
          <cell r="CX202">
            <v>-771771.75</v>
          </cell>
          <cell r="CY202">
            <v>-781697.75</v>
          </cell>
          <cell r="CZ202">
            <v>-791623.75</v>
          </cell>
          <cell r="DA202">
            <v>-801549.75</v>
          </cell>
          <cell r="DB202">
            <v>29011.71</v>
          </cell>
          <cell r="DC202">
            <v>15837.71</v>
          </cell>
          <cell r="DD202">
            <v>2663.71</v>
          </cell>
          <cell r="DE202">
            <v>-10510.29</v>
          </cell>
          <cell r="DF202">
            <v>-23684.29</v>
          </cell>
          <cell r="DG202">
            <v>-36858.29</v>
          </cell>
          <cell r="DH202">
            <v>-50032.29</v>
          </cell>
        </row>
        <row r="203">
          <cell r="A203" t="str">
            <v>2283221</v>
          </cell>
          <cell r="B203" t="str">
            <v>2283221</v>
          </cell>
          <cell r="C203" t="str">
            <v>Restor FAS158 NC</v>
          </cell>
          <cell r="AF203">
            <v>0</v>
          </cell>
          <cell r="AG203">
            <v>-9275</v>
          </cell>
          <cell r="AH203">
            <v>-8775</v>
          </cell>
          <cell r="AI203">
            <v>-8775</v>
          </cell>
          <cell r="AJ203">
            <v>-8775</v>
          </cell>
          <cell r="AK203">
            <v>-9440</v>
          </cell>
          <cell r="AL203">
            <v>-9440</v>
          </cell>
          <cell r="AM203">
            <v>-9440</v>
          </cell>
          <cell r="AN203">
            <v>-9102</v>
          </cell>
          <cell r="AO203">
            <v>-9102</v>
          </cell>
          <cell r="AP203">
            <v>-9102</v>
          </cell>
          <cell r="AQ203">
            <v>-8843</v>
          </cell>
          <cell r="AR203">
            <v>-8843</v>
          </cell>
          <cell r="AS203">
            <v>-8843</v>
          </cell>
          <cell r="AT203">
            <v>-255836</v>
          </cell>
          <cell r="AU203">
            <v>-255836</v>
          </cell>
          <cell r="AV203">
            <v>-255836</v>
          </cell>
          <cell r="AW203">
            <v>-250396</v>
          </cell>
          <cell r="AX203">
            <v>-250396</v>
          </cell>
          <cell r="AY203">
            <v>-250396</v>
          </cell>
          <cell r="AZ203">
            <v>-277585</v>
          </cell>
          <cell r="BA203">
            <v>-277585</v>
          </cell>
          <cell r="BB203">
            <v>-277585</v>
          </cell>
          <cell r="BC203">
            <v>-271647</v>
          </cell>
          <cell r="BD203">
            <v>-271647</v>
          </cell>
          <cell r="BE203">
            <v>-271647</v>
          </cell>
          <cell r="BF203">
            <v>-253149</v>
          </cell>
          <cell r="BG203">
            <v>-253149</v>
          </cell>
          <cell r="BH203">
            <v>-253149</v>
          </cell>
          <cell r="BI203">
            <v>-235997</v>
          </cell>
          <cell r="BJ203">
            <v>-235997</v>
          </cell>
          <cell r="BK203">
            <v>-235997</v>
          </cell>
          <cell r="BL203">
            <v>-679574</v>
          </cell>
          <cell r="BM203">
            <v>-679574</v>
          </cell>
          <cell r="BN203">
            <v>-679574</v>
          </cell>
          <cell r="BO203">
            <v>-666028</v>
          </cell>
          <cell r="BP203">
            <v>-666028</v>
          </cell>
          <cell r="BQ203">
            <v>-666028</v>
          </cell>
          <cell r="BR203">
            <v>-653080</v>
          </cell>
          <cell r="BS203">
            <v>-653080</v>
          </cell>
          <cell r="BT203">
            <v>-653080</v>
          </cell>
          <cell r="BU203">
            <v>-639833</v>
          </cell>
          <cell r="BV203">
            <v>-639833</v>
          </cell>
          <cell r="BW203">
            <v>-639833</v>
          </cell>
          <cell r="BX203">
            <v>-889665</v>
          </cell>
          <cell r="BY203">
            <v>-889665</v>
          </cell>
          <cell r="BZ203">
            <v>-889665</v>
          </cell>
          <cell r="CA203">
            <v>-870905</v>
          </cell>
          <cell r="CB203">
            <v>-870905</v>
          </cell>
          <cell r="CC203">
            <v>-870905</v>
          </cell>
          <cell r="CD203">
            <v>-826136</v>
          </cell>
          <cell r="CE203">
            <v>-826136</v>
          </cell>
          <cell r="CF203">
            <v>-826136</v>
          </cell>
          <cell r="CG203">
            <v>-794371</v>
          </cell>
          <cell r="CH203">
            <v>-794371</v>
          </cell>
          <cell r="CI203">
            <v>-794371</v>
          </cell>
          <cell r="CJ203">
            <v>-1540996</v>
          </cell>
          <cell r="CK203">
            <v>-1540996</v>
          </cell>
          <cell r="CL203">
            <v>-1540996</v>
          </cell>
          <cell r="CM203">
            <v>-1503634</v>
          </cell>
          <cell r="CN203">
            <v>-1503634</v>
          </cell>
          <cell r="CO203">
            <v>-1503634</v>
          </cell>
          <cell r="CP203">
            <v>-1466272</v>
          </cell>
          <cell r="CQ203">
            <v>-1466272</v>
          </cell>
          <cell r="CR203">
            <v>-1466272</v>
          </cell>
          <cell r="CS203">
            <v>-1400188</v>
          </cell>
          <cell r="CT203">
            <v>-1400188</v>
          </cell>
          <cell r="CU203">
            <v>-1400188</v>
          </cell>
          <cell r="CV203">
            <v>549582</v>
          </cell>
          <cell r="CW203">
            <v>549582</v>
          </cell>
          <cell r="CX203">
            <v>549582</v>
          </cell>
          <cell r="CY203">
            <v>571471</v>
          </cell>
          <cell r="CZ203">
            <v>571471</v>
          </cell>
          <cell r="DA203">
            <v>571471</v>
          </cell>
          <cell r="DB203">
            <v>604816</v>
          </cell>
          <cell r="DC203">
            <v>604816</v>
          </cell>
          <cell r="DD203">
            <v>604816</v>
          </cell>
          <cell r="DE203">
            <v>632433</v>
          </cell>
          <cell r="DF203">
            <v>632433</v>
          </cell>
          <cell r="DG203">
            <v>632433</v>
          </cell>
          <cell r="DH203">
            <v>-336617</v>
          </cell>
        </row>
        <row r="204">
          <cell r="A204" t="str">
            <v>2283230</v>
          </cell>
          <cell r="B204" t="str">
            <v>2283230</v>
          </cell>
          <cell r="C204" t="str">
            <v>FAS106 Liability-Active - Non-Current</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row>
        <row r="205">
          <cell r="A205" t="str">
            <v>2283231</v>
          </cell>
          <cell r="B205" t="str">
            <v>2283231</v>
          </cell>
          <cell r="C205" t="str">
            <v>FAS106 FAS158 NC</v>
          </cell>
          <cell r="D205">
            <v>2064535</v>
          </cell>
          <cell r="E205">
            <v>2064535</v>
          </cell>
          <cell r="F205">
            <v>2064535</v>
          </cell>
          <cell r="G205">
            <v>2063978</v>
          </cell>
          <cell r="H205">
            <v>2063978</v>
          </cell>
          <cell r="I205">
            <v>2063978</v>
          </cell>
          <cell r="J205">
            <v>2068231</v>
          </cell>
          <cell r="K205">
            <v>2068231</v>
          </cell>
          <cell r="L205">
            <v>2068231</v>
          </cell>
          <cell r="M205">
            <v>2070561</v>
          </cell>
          <cell r="N205">
            <v>2070561</v>
          </cell>
          <cell r="O205">
            <v>2070561</v>
          </cell>
          <cell r="P205">
            <v>1854438</v>
          </cell>
          <cell r="Q205">
            <v>1854438</v>
          </cell>
          <cell r="R205">
            <v>1854438</v>
          </cell>
          <cell r="S205">
            <v>1862091</v>
          </cell>
          <cell r="T205">
            <v>1862091</v>
          </cell>
          <cell r="U205">
            <v>1862091</v>
          </cell>
          <cell r="V205">
            <v>1839131</v>
          </cell>
          <cell r="W205">
            <v>1839131</v>
          </cell>
          <cell r="X205">
            <v>1844512</v>
          </cell>
          <cell r="Y205">
            <v>1836859</v>
          </cell>
          <cell r="Z205">
            <v>1836859</v>
          </cell>
          <cell r="AA205">
            <v>1836859</v>
          </cell>
          <cell r="AB205">
            <v>2513106</v>
          </cell>
          <cell r="AC205">
            <v>2513106</v>
          </cell>
          <cell r="AD205">
            <v>2513106</v>
          </cell>
          <cell r="AE205">
            <v>2505453</v>
          </cell>
          <cell r="AF205">
            <v>2505453</v>
          </cell>
          <cell r="AG205">
            <v>2505453</v>
          </cell>
          <cell r="AH205">
            <v>2497800</v>
          </cell>
          <cell r="AI205">
            <v>2497800</v>
          </cell>
          <cell r="AJ205">
            <v>2497800</v>
          </cell>
          <cell r="AK205">
            <v>924977</v>
          </cell>
          <cell r="AL205">
            <v>924977</v>
          </cell>
          <cell r="AM205">
            <v>924977</v>
          </cell>
          <cell r="AN205">
            <v>2236870</v>
          </cell>
          <cell r="AO205">
            <v>2236870</v>
          </cell>
          <cell r="AP205">
            <v>2236870</v>
          </cell>
          <cell r="AQ205">
            <v>2229217</v>
          </cell>
          <cell r="AR205">
            <v>2229217</v>
          </cell>
          <cell r="AS205">
            <v>2229217</v>
          </cell>
          <cell r="AT205">
            <v>1524045</v>
          </cell>
          <cell r="AU205">
            <v>1524045</v>
          </cell>
          <cell r="AV205">
            <v>1524045</v>
          </cell>
          <cell r="AW205">
            <v>1516109</v>
          </cell>
          <cell r="AX205">
            <v>1516109</v>
          </cell>
          <cell r="AY205">
            <v>1516109</v>
          </cell>
          <cell r="AZ205">
            <v>123630</v>
          </cell>
          <cell r="BA205">
            <v>123630</v>
          </cell>
          <cell r="BB205">
            <v>123630</v>
          </cell>
          <cell r="BC205">
            <v>123497</v>
          </cell>
          <cell r="BD205">
            <v>123497</v>
          </cell>
          <cell r="BE205">
            <v>123497</v>
          </cell>
          <cell r="BF205">
            <v>126969</v>
          </cell>
          <cell r="BG205">
            <v>126969</v>
          </cell>
          <cell r="BH205">
            <v>126969</v>
          </cell>
          <cell r="BI205">
            <v>125299</v>
          </cell>
          <cell r="BJ205">
            <v>125299</v>
          </cell>
          <cell r="BK205">
            <v>125299</v>
          </cell>
          <cell r="BL205">
            <v>1193888</v>
          </cell>
          <cell r="BM205">
            <v>1193888</v>
          </cell>
          <cell r="BN205">
            <v>1193888</v>
          </cell>
          <cell r="BO205">
            <v>1185763</v>
          </cell>
          <cell r="BP205">
            <v>1185763</v>
          </cell>
          <cell r="BQ205">
            <v>1185763</v>
          </cell>
          <cell r="BR205">
            <v>1179237</v>
          </cell>
          <cell r="BS205">
            <v>1179237</v>
          </cell>
          <cell r="BT205">
            <v>1179237</v>
          </cell>
          <cell r="BU205">
            <v>1171912</v>
          </cell>
          <cell r="BV205">
            <v>1171912</v>
          </cell>
          <cell r="BW205">
            <v>1171912</v>
          </cell>
          <cell r="BX205">
            <v>-1302058</v>
          </cell>
          <cell r="BY205">
            <v>-1302058</v>
          </cell>
          <cell r="BZ205">
            <v>-1302058</v>
          </cell>
          <cell r="CA205">
            <v>-1293831</v>
          </cell>
          <cell r="CB205">
            <v>-1293831</v>
          </cell>
          <cell r="CC205">
            <v>-1293831</v>
          </cell>
          <cell r="CD205">
            <v>-1281538</v>
          </cell>
          <cell r="CE205">
            <v>-1281538</v>
          </cell>
          <cell r="CF205">
            <v>-1281538</v>
          </cell>
          <cell r="CG205">
            <v>-1271278</v>
          </cell>
          <cell r="CH205">
            <v>-1271278</v>
          </cell>
          <cell r="CI205">
            <v>-1271278</v>
          </cell>
          <cell r="CJ205">
            <v>-6585426</v>
          </cell>
          <cell r="CK205">
            <v>-6585426</v>
          </cell>
          <cell r="CL205">
            <v>-6585426</v>
          </cell>
          <cell r="CM205">
            <v>-6495855</v>
          </cell>
          <cell r="CN205">
            <v>-6495855</v>
          </cell>
          <cell r="CO205">
            <v>-6495855</v>
          </cell>
          <cell r="CP205">
            <v>-6406284</v>
          </cell>
          <cell r="CQ205">
            <v>-6406284</v>
          </cell>
          <cell r="CR205">
            <v>-6406284</v>
          </cell>
          <cell r="CS205">
            <v>-6244641</v>
          </cell>
          <cell r="CT205">
            <v>-6244641</v>
          </cell>
          <cell r="CU205">
            <v>-6244641</v>
          </cell>
          <cell r="CV205">
            <v>-5453261</v>
          </cell>
          <cell r="CW205">
            <v>-5453261</v>
          </cell>
          <cell r="CX205">
            <v>-5453261</v>
          </cell>
          <cell r="CY205">
            <v>-5370139</v>
          </cell>
          <cell r="CZ205">
            <v>-5370139</v>
          </cell>
          <cell r="DA205">
            <v>-5370139</v>
          </cell>
          <cell r="DB205">
            <v>-5317438</v>
          </cell>
          <cell r="DC205">
            <v>-5317438</v>
          </cell>
          <cell r="DD205">
            <v>-5317438</v>
          </cell>
          <cell r="DE205">
            <v>-5249527</v>
          </cell>
          <cell r="DF205">
            <v>-5249527</v>
          </cell>
          <cell r="DG205">
            <v>-5249527</v>
          </cell>
          <cell r="DH205">
            <v>1237339</v>
          </cell>
        </row>
        <row r="206">
          <cell r="A206" t="str">
            <v>2283232</v>
          </cell>
          <cell r="B206" t="str">
            <v>2283232</v>
          </cell>
          <cell r="C206" t="str">
            <v>FAS106 Retired NC</v>
          </cell>
          <cell r="D206">
            <v>-15170213.300000001</v>
          </cell>
          <cell r="E206">
            <v>-15183137.619999999</v>
          </cell>
          <cell r="F206">
            <v>-15194410.949999999</v>
          </cell>
          <cell r="G206">
            <v>-15241500.85</v>
          </cell>
          <cell r="H206">
            <v>-15323744.880000001</v>
          </cell>
          <cell r="I206">
            <v>-15355021.68</v>
          </cell>
          <cell r="J206">
            <v>-15391404.35</v>
          </cell>
          <cell r="K206">
            <v>-15464298.24</v>
          </cell>
          <cell r="L206">
            <v>-15500379.84</v>
          </cell>
          <cell r="M206">
            <v>-15526075.48</v>
          </cell>
          <cell r="N206">
            <v>-15528609.84</v>
          </cell>
          <cell r="O206">
            <v>-15558116.15</v>
          </cell>
          <cell r="P206">
            <v>-15497365.67</v>
          </cell>
          <cell r="Q206">
            <v>-15563018.060000001</v>
          </cell>
          <cell r="R206">
            <v>-15628782.699999999</v>
          </cell>
          <cell r="S206">
            <v>-15636661.18</v>
          </cell>
          <cell r="T206">
            <v>-15706868.1</v>
          </cell>
          <cell r="U206">
            <v>-15640297.67</v>
          </cell>
          <cell r="V206">
            <v>-15642145.800000001</v>
          </cell>
          <cell r="W206">
            <v>-15717409.75</v>
          </cell>
          <cell r="X206">
            <v>-15499508.380000001</v>
          </cell>
          <cell r="Y206">
            <v>-15489476.01</v>
          </cell>
          <cell r="Z206">
            <v>-15478728.460000001</v>
          </cell>
          <cell r="AA206">
            <v>-15479003.9</v>
          </cell>
          <cell r="AB206">
            <v>-15447557.300000001</v>
          </cell>
          <cell r="AC206">
            <v>-15498743.369999999</v>
          </cell>
          <cell r="AD206">
            <v>-15530307.41</v>
          </cell>
          <cell r="AE206">
            <v>-15517497.34</v>
          </cell>
          <cell r="AF206">
            <v>-15559797.23</v>
          </cell>
          <cell r="AG206">
            <v>-15559596.76</v>
          </cell>
          <cell r="AH206">
            <v>-15621272.140000001</v>
          </cell>
          <cell r="AI206">
            <v>-15567372.9</v>
          </cell>
          <cell r="AJ206">
            <v>-15543289.23</v>
          </cell>
          <cell r="AK206">
            <v>-15588779.77</v>
          </cell>
          <cell r="AL206">
            <v>-15546389.720000001</v>
          </cell>
          <cell r="AM206">
            <v>-15591349.189999999</v>
          </cell>
          <cell r="AN206">
            <v>-15627612.24</v>
          </cell>
          <cell r="AO206">
            <v>-15626889.26</v>
          </cell>
          <cell r="AP206">
            <v>-15637765.630000001</v>
          </cell>
          <cell r="AQ206">
            <v>-15567386.630000001</v>
          </cell>
          <cell r="AR206">
            <v>-15677793.029999999</v>
          </cell>
          <cell r="AS206">
            <v>-15728806.73</v>
          </cell>
          <cell r="AT206">
            <v>-15738643.09</v>
          </cell>
          <cell r="AU206">
            <v>-15704282.92</v>
          </cell>
          <cell r="AV206">
            <v>-15732410.92</v>
          </cell>
          <cell r="AW206">
            <v>-15743292.369999999</v>
          </cell>
          <cell r="AX206">
            <v>-15762731.439999999</v>
          </cell>
          <cell r="AY206">
            <v>-15733742.84</v>
          </cell>
          <cell r="AZ206">
            <v>-15742627.17</v>
          </cell>
          <cell r="BA206">
            <v>-15693895.439999999</v>
          </cell>
          <cell r="BB206">
            <v>-15655559.220000001</v>
          </cell>
          <cell r="BC206">
            <v>-15779550.91</v>
          </cell>
          <cell r="BD206">
            <v>-15723964.25</v>
          </cell>
          <cell r="BE206">
            <v>-15695077.34</v>
          </cell>
          <cell r="BF206">
            <v>-15643596.52</v>
          </cell>
          <cell r="BG206">
            <v>-15692099.58</v>
          </cell>
          <cell r="BH206">
            <v>-15602195.42</v>
          </cell>
          <cell r="BI206">
            <v>-15612731.550000001</v>
          </cell>
          <cell r="BJ206">
            <v>-15552058.17</v>
          </cell>
          <cell r="BK206">
            <v>-15516335.85</v>
          </cell>
          <cell r="BL206">
            <v>-15538048.33</v>
          </cell>
          <cell r="BM206">
            <v>-15543057.970000001</v>
          </cell>
          <cell r="BN206">
            <v>-15534551.91</v>
          </cell>
          <cell r="BO206">
            <v>-15545771.24</v>
          </cell>
          <cell r="BP206">
            <v>-15595514.189999999</v>
          </cell>
          <cell r="BQ206">
            <v>-15676214.17</v>
          </cell>
          <cell r="BR206">
            <v>-15703605.369999999</v>
          </cell>
          <cell r="BS206">
            <v>-15723629.92</v>
          </cell>
          <cell r="BT206">
            <v>-15696295.560000001</v>
          </cell>
          <cell r="BU206">
            <v>-15728448.380000001</v>
          </cell>
          <cell r="BV206">
            <v>-15741201.74</v>
          </cell>
          <cell r="BW206">
            <v>-15759136.34</v>
          </cell>
          <cell r="BX206">
            <v>-15705884.439999999</v>
          </cell>
          <cell r="BY206">
            <v>-15732190.939999999</v>
          </cell>
          <cell r="BZ206">
            <v>-15732391.199999999</v>
          </cell>
          <cell r="CA206">
            <v>-15634568.77</v>
          </cell>
          <cell r="CB206">
            <v>-15541239.460000001</v>
          </cell>
          <cell r="CC206">
            <v>-15549537.529999999</v>
          </cell>
          <cell r="CD206">
            <v>-15543316.01</v>
          </cell>
          <cell r="CE206">
            <v>-15536461.9</v>
          </cell>
          <cell r="CF206">
            <v>-15501143.4</v>
          </cell>
          <cell r="CG206">
            <v>-15554230.92</v>
          </cell>
          <cell r="CH206">
            <v>-15529433.17</v>
          </cell>
          <cell r="CI206">
            <v>-15452402.029999999</v>
          </cell>
          <cell r="CJ206">
            <v>-15429582.390000001</v>
          </cell>
          <cell r="CK206">
            <v>-15505354.699999999</v>
          </cell>
          <cell r="CL206">
            <v>-15541129.02</v>
          </cell>
          <cell r="CM206">
            <v>-15571237.41</v>
          </cell>
          <cell r="CN206">
            <v>-15644315</v>
          </cell>
          <cell r="CO206">
            <v>-15652513.550000001</v>
          </cell>
          <cell r="CP206">
            <v>-15658947.109999999</v>
          </cell>
          <cell r="CQ206">
            <v>-15696750.15</v>
          </cell>
          <cell r="CR206">
            <v>-15478682.779999999</v>
          </cell>
          <cell r="CS206">
            <v>-15519952.51</v>
          </cell>
          <cell r="CT206">
            <v>-15612010.1</v>
          </cell>
          <cell r="CU206">
            <v>-15554453.92</v>
          </cell>
          <cell r="CV206">
            <v>-15636487.9</v>
          </cell>
          <cell r="CW206">
            <v>-15744164.07</v>
          </cell>
          <cell r="CX206">
            <v>-15779198.359999999</v>
          </cell>
          <cell r="CY206">
            <v>-15724591.41</v>
          </cell>
          <cell r="CZ206">
            <v>-15775176.4</v>
          </cell>
          <cell r="DA206">
            <v>-15836315.039999999</v>
          </cell>
          <cell r="DB206">
            <v>-15719993.140000001</v>
          </cell>
          <cell r="DC206">
            <v>-15581009.93</v>
          </cell>
          <cell r="DD206">
            <v>-15588217.08</v>
          </cell>
          <cell r="DE206">
            <v>-15516743.710000001</v>
          </cell>
          <cell r="DF206">
            <v>-15473891.51</v>
          </cell>
          <cell r="DG206">
            <v>-15298994.640000001</v>
          </cell>
          <cell r="DH206">
            <v>-15380047.59</v>
          </cell>
        </row>
        <row r="207">
          <cell r="A207" t="str">
            <v>2283240</v>
          </cell>
          <cell r="B207" t="str">
            <v>2283240</v>
          </cell>
          <cell r="C207" t="str">
            <v>FAS112 LTDisab NC</v>
          </cell>
          <cell r="D207">
            <v>-1338121</v>
          </cell>
          <cell r="E207">
            <v>-1342047.96</v>
          </cell>
          <cell r="F207">
            <v>-1353779.74</v>
          </cell>
          <cell r="G207">
            <v>-1343537.84</v>
          </cell>
          <cell r="H207">
            <v>-1318969.94</v>
          </cell>
          <cell r="I207">
            <v>-1334934.1499999999</v>
          </cell>
          <cell r="J207">
            <v>-1339111.1399999999</v>
          </cell>
          <cell r="K207">
            <v>-1343816.81</v>
          </cell>
          <cell r="L207">
            <v>-1604647.16</v>
          </cell>
          <cell r="M207">
            <v>-1574592.06</v>
          </cell>
          <cell r="N207">
            <v>-1575247.96</v>
          </cell>
          <cell r="O207">
            <v>-1571355.25</v>
          </cell>
          <cell r="P207">
            <v>-1911757</v>
          </cell>
          <cell r="Q207">
            <v>-1912262.67</v>
          </cell>
          <cell r="R207">
            <v>-1752357.55</v>
          </cell>
          <cell r="S207">
            <v>-1761196.77</v>
          </cell>
          <cell r="T207">
            <v>-1784892.37</v>
          </cell>
          <cell r="U207">
            <v>-1775223.39</v>
          </cell>
          <cell r="V207">
            <v>-1795685.76</v>
          </cell>
          <cell r="W207">
            <v>-1887459.46</v>
          </cell>
          <cell r="X207">
            <v>-1900807.76</v>
          </cell>
          <cell r="Y207">
            <v>-2235756.48</v>
          </cell>
          <cell r="Z207">
            <v>-2236968.9500000002</v>
          </cell>
          <cell r="AA207">
            <v>-2249140.7999999998</v>
          </cell>
          <cell r="AB207">
            <v>-1967200</v>
          </cell>
          <cell r="AC207">
            <v>-2019059.19</v>
          </cell>
          <cell r="AD207">
            <v>-2021944.97</v>
          </cell>
          <cell r="AE207">
            <v>-2031316.75</v>
          </cell>
          <cell r="AF207">
            <v>-2047242.39</v>
          </cell>
          <cell r="AG207">
            <v>-2035948.63</v>
          </cell>
          <cell r="AH207">
            <v>-2027731.35</v>
          </cell>
          <cell r="AI207">
            <v>-2020046.32</v>
          </cell>
          <cell r="AJ207">
            <v>-1984507.35</v>
          </cell>
          <cell r="AK207">
            <v>-2483978.2000000002</v>
          </cell>
          <cell r="AL207">
            <v>-2521539.06</v>
          </cell>
          <cell r="AM207">
            <v>-2564991.33</v>
          </cell>
          <cell r="AN207">
            <v>-2443017</v>
          </cell>
          <cell r="AO207">
            <v>-2491644.75</v>
          </cell>
          <cell r="AP207">
            <v>-2526428.9300000002</v>
          </cell>
          <cell r="AQ207">
            <v>-2559312.2400000002</v>
          </cell>
          <cell r="AR207">
            <v>-2608376.88</v>
          </cell>
          <cell r="AS207">
            <v>-2651148.9900000002</v>
          </cell>
          <cell r="AT207">
            <v>-2611342.3199999998</v>
          </cell>
          <cell r="AU207">
            <v>-2648060.27</v>
          </cell>
          <cell r="AV207">
            <v>-2660358.5299999998</v>
          </cell>
          <cell r="AW207">
            <v>-3231275.47</v>
          </cell>
          <cell r="AX207">
            <v>-3323599.17</v>
          </cell>
          <cell r="AY207">
            <v>-3382118.23</v>
          </cell>
          <cell r="AZ207">
            <v>-3049962</v>
          </cell>
          <cell r="BA207">
            <v>-3034124.41</v>
          </cell>
          <cell r="BB207">
            <v>-3072298.79</v>
          </cell>
          <cell r="BC207">
            <v>-3115771.87</v>
          </cell>
          <cell r="BD207">
            <v>-3135950.88</v>
          </cell>
          <cell r="BE207">
            <v>-3124484.7</v>
          </cell>
          <cell r="BF207">
            <v>-3133368.11</v>
          </cell>
          <cell r="BG207">
            <v>-3178562.16</v>
          </cell>
          <cell r="BH207">
            <v>-3189388.08</v>
          </cell>
          <cell r="BI207">
            <v>-2832231.31</v>
          </cell>
          <cell r="BJ207">
            <v>-2840557.24</v>
          </cell>
          <cell r="BK207">
            <v>-2839091.82</v>
          </cell>
          <cell r="BL207">
            <v>-2098347.48</v>
          </cell>
          <cell r="BM207">
            <v>-2156196.23</v>
          </cell>
          <cell r="BN207">
            <v>-2295418.42</v>
          </cell>
          <cell r="BO207">
            <v>-2304061.61</v>
          </cell>
          <cell r="BP207">
            <v>-2366828.69</v>
          </cell>
          <cell r="BQ207">
            <v>-2388681.67</v>
          </cell>
          <cell r="BR207">
            <v>-2413436.4700000002</v>
          </cell>
          <cell r="BS207">
            <v>-2477931.9</v>
          </cell>
          <cell r="BT207">
            <v>-2526636.39</v>
          </cell>
          <cell r="BU207">
            <v>-2504244.7000000002</v>
          </cell>
          <cell r="BV207">
            <v>-2558136.44</v>
          </cell>
          <cell r="BW207">
            <v>-2612221.9500000002</v>
          </cell>
          <cell r="BX207">
            <v>-2679850</v>
          </cell>
          <cell r="BY207">
            <v>-2766667.74</v>
          </cell>
          <cell r="BZ207">
            <v>-2834115.54</v>
          </cell>
          <cell r="CA207">
            <v>-2882191.85</v>
          </cell>
          <cell r="CB207">
            <v>-2922972.75</v>
          </cell>
          <cell r="CC207">
            <v>-3017035.97</v>
          </cell>
          <cell r="CD207">
            <v>-2998797.04</v>
          </cell>
          <cell r="CE207">
            <v>-3074388.5</v>
          </cell>
          <cell r="CF207">
            <v>-3054840.8</v>
          </cell>
          <cell r="CG207">
            <v>-3102481.75</v>
          </cell>
          <cell r="CH207">
            <v>-3163325.57</v>
          </cell>
          <cell r="CI207">
            <v>-3277403.02</v>
          </cell>
          <cell r="CJ207">
            <v>-3694346</v>
          </cell>
          <cell r="CK207">
            <v>-3849097.19</v>
          </cell>
          <cell r="CL207">
            <v>-3911248.43</v>
          </cell>
          <cell r="CM207">
            <v>-4066973.23</v>
          </cell>
          <cell r="CN207">
            <v>-4113457.24</v>
          </cell>
          <cell r="CO207">
            <v>-4159027.64</v>
          </cell>
          <cell r="CP207">
            <v>-4222723.63</v>
          </cell>
          <cell r="CQ207">
            <v>-4456788</v>
          </cell>
          <cell r="CR207">
            <v>-4470146.67</v>
          </cell>
          <cell r="CS207">
            <v>-5155989.0999999996</v>
          </cell>
          <cell r="CT207">
            <v>-5327284.99</v>
          </cell>
          <cell r="CU207">
            <v>-5415986.3300000001</v>
          </cell>
          <cell r="CV207">
            <v>-3047263.04</v>
          </cell>
          <cell r="CW207">
            <v>-3136258.33</v>
          </cell>
          <cell r="CX207">
            <v>-3175516.49</v>
          </cell>
          <cell r="CY207">
            <v>-3423080.19</v>
          </cell>
          <cell r="CZ207">
            <v>-3479570.18</v>
          </cell>
          <cell r="DA207">
            <v>-3322606.19</v>
          </cell>
          <cell r="DB207">
            <v>-3341333.44</v>
          </cell>
          <cell r="DC207">
            <v>-3660010.39</v>
          </cell>
          <cell r="DD207">
            <v>-3121737.58</v>
          </cell>
          <cell r="DE207">
            <v>-3167313.21</v>
          </cell>
          <cell r="DF207">
            <v>-3208330.1</v>
          </cell>
          <cell r="DG207">
            <v>-3253337.88</v>
          </cell>
          <cell r="DH207">
            <v>-2784737.22</v>
          </cell>
        </row>
        <row r="208">
          <cell r="A208" t="str">
            <v>2284020</v>
          </cell>
          <cell r="B208" t="str">
            <v>2284020</v>
          </cell>
          <cell r="C208" t="str">
            <v>Oth Litigation Resrv</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-43288.91</v>
          </cell>
          <cell r="AC208">
            <v>-43288.91</v>
          </cell>
          <cell r="AD208">
            <v>-43288.91</v>
          </cell>
          <cell r="AE208">
            <v>-27900.82</v>
          </cell>
          <cell r="AF208">
            <v>-27900.82</v>
          </cell>
          <cell r="AG208">
            <v>-27900.82</v>
          </cell>
          <cell r="AH208">
            <v>-69825.119999999995</v>
          </cell>
          <cell r="AI208">
            <v>-69825.119999999995</v>
          </cell>
          <cell r="AJ208">
            <v>-69825.119999999995</v>
          </cell>
          <cell r="AK208">
            <v>-56043.47</v>
          </cell>
          <cell r="AL208">
            <v>-56043.47</v>
          </cell>
          <cell r="AM208">
            <v>-56043.47</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row>
        <row r="209">
          <cell r="A209" t="str">
            <v>2284030</v>
          </cell>
          <cell r="B209" t="str">
            <v>2284030</v>
          </cell>
          <cell r="C209" t="str">
            <v>Contractor Dmg Resrv</v>
          </cell>
          <cell r="D209">
            <v>-115338.93</v>
          </cell>
          <cell r="E209">
            <v>-115338.93</v>
          </cell>
          <cell r="F209">
            <v>-106141.35</v>
          </cell>
          <cell r="G209">
            <v>-89064.28</v>
          </cell>
          <cell r="H209">
            <v>-100380.07</v>
          </cell>
          <cell r="I209">
            <v>-123276.81</v>
          </cell>
          <cell r="J209">
            <v>-104594.18</v>
          </cell>
          <cell r="K209">
            <v>-130704.09</v>
          </cell>
          <cell r="L209">
            <v>-129411.8</v>
          </cell>
          <cell r="M209">
            <v>-129411.8</v>
          </cell>
          <cell r="N209">
            <v>-129411.8</v>
          </cell>
          <cell r="O209">
            <v>-129411.8</v>
          </cell>
          <cell r="P209">
            <v>-155253.72</v>
          </cell>
          <cell r="Q209">
            <v>-155253.72</v>
          </cell>
          <cell r="R209">
            <v>-193312.6</v>
          </cell>
          <cell r="S209">
            <v>-161338.35</v>
          </cell>
          <cell r="T209">
            <v>-161338.35</v>
          </cell>
          <cell r="U209">
            <v>-161338.35</v>
          </cell>
          <cell r="V209">
            <v>-152857.57999999999</v>
          </cell>
          <cell r="W209">
            <v>-152857.57999999999</v>
          </cell>
          <cell r="X209">
            <v>-152857.57999999999</v>
          </cell>
          <cell r="Y209">
            <v>-140258.88</v>
          </cell>
          <cell r="Z209">
            <v>-140258.88</v>
          </cell>
          <cell r="AA209">
            <v>-140258.88</v>
          </cell>
          <cell r="AB209">
            <v>-73349.679999999993</v>
          </cell>
          <cell r="AC209">
            <v>-73349.679999999993</v>
          </cell>
          <cell r="AD209">
            <v>-73349.679999999993</v>
          </cell>
          <cell r="AE209">
            <v>-81893.59</v>
          </cell>
          <cell r="AF209">
            <v>-81893.59</v>
          </cell>
          <cell r="AG209">
            <v>-81893.59</v>
          </cell>
          <cell r="AH209">
            <v>-81893.59</v>
          </cell>
          <cell r="AI209">
            <v>-81893.59</v>
          </cell>
          <cell r="AJ209">
            <v>-81893.59</v>
          </cell>
          <cell r="AK209">
            <v>-81893.59</v>
          </cell>
          <cell r="AL209">
            <v>-47680.06</v>
          </cell>
          <cell r="AM209">
            <v>-47680.06</v>
          </cell>
          <cell r="AN209">
            <v>-47680.06</v>
          </cell>
          <cell r="AO209">
            <v>-47680.06</v>
          </cell>
          <cell r="AP209">
            <v>-47680.06</v>
          </cell>
          <cell r="AQ209">
            <v>-47680.06</v>
          </cell>
          <cell r="AR209">
            <v>-47680.06</v>
          </cell>
          <cell r="AS209">
            <v>-47680.06</v>
          </cell>
          <cell r="AT209">
            <v>-47680.06</v>
          </cell>
          <cell r="AU209">
            <v>-47680.06</v>
          </cell>
          <cell r="AV209">
            <v>-47680.06</v>
          </cell>
          <cell r="AW209">
            <v>-47680.06</v>
          </cell>
          <cell r="AX209">
            <v>-47680.06</v>
          </cell>
          <cell r="AY209">
            <v>-47680.06</v>
          </cell>
          <cell r="AZ209">
            <v>-47680.06</v>
          </cell>
          <cell r="BA209">
            <v>-47680.06</v>
          </cell>
          <cell r="BB209">
            <v>-47680.06</v>
          </cell>
          <cell r="BC209">
            <v>-47680.06</v>
          </cell>
          <cell r="BD209">
            <v>-103220.62</v>
          </cell>
          <cell r="BE209">
            <v>-91699.86</v>
          </cell>
          <cell r="BF209">
            <v>-107404.3</v>
          </cell>
          <cell r="BG209">
            <v>-107404.3</v>
          </cell>
          <cell r="BH209">
            <v>-216452.99</v>
          </cell>
          <cell r="BI209">
            <v>-207913.4</v>
          </cell>
          <cell r="BJ209">
            <v>-205400.7</v>
          </cell>
          <cell r="BK209">
            <v>-131114.10999999999</v>
          </cell>
          <cell r="BL209">
            <v>-64341.54</v>
          </cell>
          <cell r="BM209">
            <v>-86007.99</v>
          </cell>
          <cell r="BN209">
            <v>-73442.399999999994</v>
          </cell>
          <cell r="BO209">
            <v>-98801.95</v>
          </cell>
          <cell r="BP209">
            <v>-76479.8</v>
          </cell>
          <cell r="BQ209">
            <v>-86168.3</v>
          </cell>
          <cell r="BR209">
            <v>-99853.82</v>
          </cell>
          <cell r="BS209">
            <v>-99853.82</v>
          </cell>
          <cell r="BT209">
            <v>-111834.4</v>
          </cell>
          <cell r="BU209">
            <v>-109235.92</v>
          </cell>
          <cell r="BV209">
            <v>-94434.37</v>
          </cell>
          <cell r="BW209">
            <v>-124983.74</v>
          </cell>
          <cell r="BX209">
            <v>-88500.800000000003</v>
          </cell>
          <cell r="BY209">
            <v>-111748.17</v>
          </cell>
          <cell r="BZ209">
            <v>-141017.21</v>
          </cell>
          <cell r="CA209">
            <v>-166204.94</v>
          </cell>
          <cell r="CB209">
            <v>-266476.05</v>
          </cell>
          <cell r="CC209">
            <v>-378020.19</v>
          </cell>
          <cell r="CD209">
            <v>-446300.59</v>
          </cell>
          <cell r="CE209">
            <v>-514943.01</v>
          </cell>
          <cell r="CF209">
            <v>-412036.57</v>
          </cell>
          <cell r="CG209">
            <v>-379469.83</v>
          </cell>
          <cell r="CH209">
            <v>-184210.75</v>
          </cell>
          <cell r="CI209">
            <v>-221360.07</v>
          </cell>
          <cell r="CJ209">
            <v>-152994.60999999999</v>
          </cell>
          <cell r="CK209">
            <v>-93391.51</v>
          </cell>
          <cell r="CL209">
            <v>-146412.39000000001</v>
          </cell>
          <cell r="CM209">
            <v>-114930.05</v>
          </cell>
          <cell r="CN209">
            <v>-173807.9</v>
          </cell>
          <cell r="CO209">
            <v>-136640.75</v>
          </cell>
          <cell r="CP209">
            <v>-165841.16</v>
          </cell>
          <cell r="CQ209">
            <v>-207208.9</v>
          </cell>
          <cell r="CR209">
            <v>-252220.57</v>
          </cell>
          <cell r="CS209">
            <v>-284539.48</v>
          </cell>
          <cell r="CT209">
            <v>-209201.05</v>
          </cell>
          <cell r="CU209">
            <v>-163198.39999999999</v>
          </cell>
          <cell r="CV209">
            <v>-124971.54</v>
          </cell>
          <cell r="CW209">
            <v>-139769.93</v>
          </cell>
          <cell r="CX209">
            <v>-169758.28</v>
          </cell>
          <cell r="CY209">
            <v>-239641.27</v>
          </cell>
          <cell r="CZ209">
            <v>-210070.87</v>
          </cell>
          <cell r="DA209">
            <v>-206511.54</v>
          </cell>
          <cell r="DB209">
            <v>-202469.29</v>
          </cell>
          <cell r="DC209">
            <v>-234614.18</v>
          </cell>
          <cell r="DD209">
            <v>-271758.46000000002</v>
          </cell>
          <cell r="DE209">
            <v>-306326.07</v>
          </cell>
          <cell r="DF209">
            <v>-244594.81</v>
          </cell>
          <cell r="DG209">
            <v>-229330.54</v>
          </cell>
          <cell r="DH209">
            <v>-201166.61</v>
          </cell>
        </row>
        <row r="210">
          <cell r="A210" t="str">
            <v>2310000</v>
          </cell>
          <cell r="B210" t="str">
            <v>2310000</v>
          </cell>
          <cell r="C210" t="str">
            <v>Notes Pay &lt;1yr Dur</v>
          </cell>
          <cell r="D210">
            <v>-15600000</v>
          </cell>
          <cell r="E210">
            <v>-16500000</v>
          </cell>
          <cell r="F210">
            <v>-12200000</v>
          </cell>
          <cell r="G210">
            <v>0</v>
          </cell>
          <cell r="H210">
            <v>0</v>
          </cell>
          <cell r="I210">
            <v>0</v>
          </cell>
          <cell r="J210">
            <v>0</v>
          </cell>
          <cell r="K210">
            <v>0</v>
          </cell>
          <cell r="L210">
            <v>0</v>
          </cell>
          <cell r="M210">
            <v>0</v>
          </cell>
          <cell r="N210">
            <v>0</v>
          </cell>
          <cell r="O210">
            <v>0</v>
          </cell>
          <cell r="P210">
            <v>-12900000</v>
          </cell>
          <cell r="Q210">
            <v>-8350000</v>
          </cell>
          <cell r="R210">
            <v>-5800000</v>
          </cell>
          <cell r="S210">
            <v>0</v>
          </cell>
          <cell r="T210">
            <v>0</v>
          </cell>
          <cell r="U210">
            <v>0</v>
          </cell>
          <cell r="V210">
            <v>0</v>
          </cell>
          <cell r="W210">
            <v>0</v>
          </cell>
          <cell r="X210">
            <v>0</v>
          </cell>
          <cell r="Y210">
            <v>0</v>
          </cell>
          <cell r="Z210">
            <v>0</v>
          </cell>
          <cell r="AA210">
            <v>0</v>
          </cell>
          <cell r="AB210">
            <v>0</v>
          </cell>
          <cell r="AC210">
            <v>0</v>
          </cell>
          <cell r="AD210">
            <v>-2300000</v>
          </cell>
          <cell r="AE210">
            <v>0</v>
          </cell>
          <cell r="AF210">
            <v>0</v>
          </cell>
          <cell r="AG210">
            <v>0</v>
          </cell>
          <cell r="AH210">
            <v>0</v>
          </cell>
          <cell r="AI210">
            <v>-1800000</v>
          </cell>
          <cell r="AJ210">
            <v>-3150000</v>
          </cell>
          <cell r="AK210">
            <v>-700000</v>
          </cell>
          <cell r="AL210">
            <v>0</v>
          </cell>
          <cell r="AM210">
            <v>-9750000</v>
          </cell>
          <cell r="AN210">
            <v>-30050000</v>
          </cell>
          <cell r="AO210">
            <v>-41225800</v>
          </cell>
          <cell r="AP210">
            <v>-40506800</v>
          </cell>
          <cell r="AQ210">
            <v>-41810800</v>
          </cell>
          <cell r="AR210">
            <v>-37148300</v>
          </cell>
          <cell r="AS210">
            <v>-30142100</v>
          </cell>
          <cell r="AT210">
            <v>-36126700</v>
          </cell>
          <cell r="AU210">
            <v>-33325400</v>
          </cell>
          <cell r="AV210">
            <v>-46233900</v>
          </cell>
          <cell r="AW210">
            <v>-48013800</v>
          </cell>
          <cell r="AX210">
            <v>-43884100</v>
          </cell>
          <cell r="AY210">
            <v>0</v>
          </cell>
          <cell r="AZ210">
            <v>-5000000</v>
          </cell>
          <cell r="BA210">
            <v>-5000000</v>
          </cell>
          <cell r="BB210">
            <v>-58203643.530000001</v>
          </cell>
          <cell r="BC210">
            <v>-53438296.759999998</v>
          </cell>
          <cell r="BD210">
            <v>-53973759.039999999</v>
          </cell>
          <cell r="BE210">
            <v>-86871593.75</v>
          </cell>
          <cell r="BF210">
            <v>-32647326.449999999</v>
          </cell>
          <cell r="BG210">
            <v>-32403666.739999998</v>
          </cell>
          <cell r="BH210">
            <v>-36635669.780000001</v>
          </cell>
          <cell r="BI210">
            <v>-44924345.579999998</v>
          </cell>
          <cell r="BJ210">
            <v>0</v>
          </cell>
          <cell r="BK210">
            <v>-35033765.530000001</v>
          </cell>
          <cell r="BL210">
            <v>-53651642.840000004</v>
          </cell>
          <cell r="BM210">
            <v>-70274100.799999997</v>
          </cell>
          <cell r="BN210">
            <v>-51017831.979999997</v>
          </cell>
          <cell r="BO210">
            <v>-43526147.640000001</v>
          </cell>
          <cell r="BP210">
            <v>-47854030.259999998</v>
          </cell>
          <cell r="BQ210">
            <v>-32302624.949999999</v>
          </cell>
          <cell r="BR210">
            <v>-43946027.359999999</v>
          </cell>
          <cell r="BS210">
            <v>-30168533.420000002</v>
          </cell>
          <cell r="BT210">
            <v>-48717414.859999999</v>
          </cell>
          <cell r="BU210">
            <v>-44435200.189999998</v>
          </cell>
          <cell r="BV210">
            <v>-47028283.420000002</v>
          </cell>
          <cell r="BW210">
            <v>-77517735.260000005</v>
          </cell>
          <cell r="BX210">
            <v>-91138979.060000002</v>
          </cell>
          <cell r="BY210">
            <v>-104160102.78</v>
          </cell>
          <cell r="BZ210">
            <v>-90190820</v>
          </cell>
          <cell r="CA210">
            <v>-91778966.859999999</v>
          </cell>
          <cell r="CB210">
            <v>-99145211.670000002</v>
          </cell>
          <cell r="CC210">
            <v>-104893603</v>
          </cell>
          <cell r="CD210">
            <v>-127591365</v>
          </cell>
          <cell r="CE210">
            <v>-145194423.19</v>
          </cell>
          <cell r="CF210">
            <v>-133998437.38</v>
          </cell>
          <cell r="CG210">
            <v>-144415739.19999999</v>
          </cell>
          <cell r="CH210">
            <v>-162258206.69999999</v>
          </cell>
          <cell r="CI210">
            <v>-179528111.31999999</v>
          </cell>
          <cell r="CJ210">
            <v>-214352134.94</v>
          </cell>
          <cell r="CK210">
            <v>-236511398.25999999</v>
          </cell>
          <cell r="CL210">
            <v>-221147725.66</v>
          </cell>
          <cell r="CM210">
            <v>-10000000</v>
          </cell>
          <cell r="CN210">
            <v>-17122357</v>
          </cell>
          <cell r="CO210">
            <v>-87741525.890000001</v>
          </cell>
          <cell r="CP210">
            <v>-99244299.810000002</v>
          </cell>
          <cell r="CQ210">
            <v>-111939289</v>
          </cell>
          <cell r="CR210">
            <v>-101333505</v>
          </cell>
          <cell r="CS210">
            <v>-115219002</v>
          </cell>
          <cell r="CT210">
            <v>-136200897</v>
          </cell>
          <cell r="CU210">
            <v>-144763516</v>
          </cell>
          <cell r="CV210">
            <v>-189522084</v>
          </cell>
          <cell r="CW210">
            <v>-210398800</v>
          </cell>
          <cell r="CX210">
            <v>-158200102.47999999</v>
          </cell>
          <cell r="CY210">
            <v>-166329492.08000001</v>
          </cell>
          <cell r="CZ210">
            <v>-174483977.78</v>
          </cell>
          <cell r="DA210">
            <v>-177717844.08000001</v>
          </cell>
          <cell r="DB210">
            <v>-198344903.18000001</v>
          </cell>
          <cell r="DC210">
            <v>-100000000</v>
          </cell>
          <cell r="DD210">
            <v>-100000000</v>
          </cell>
          <cell r="DE210">
            <v>-156383680.47999999</v>
          </cell>
          <cell r="DF210">
            <v>-159112874.97999999</v>
          </cell>
          <cell r="DG210">
            <v>-161937357.08000001</v>
          </cell>
          <cell r="DH210">
            <v>-166097150.09999999</v>
          </cell>
        </row>
        <row r="211">
          <cell r="A211" t="str">
            <v>2320000</v>
          </cell>
          <cell r="B211" t="str">
            <v>2320000</v>
          </cell>
          <cell r="C211" t="str">
            <v>AP Vouchers (RECON)</v>
          </cell>
          <cell r="D211">
            <v>-3184397.72</v>
          </cell>
          <cell r="E211">
            <v>-740849.1</v>
          </cell>
          <cell r="F211">
            <v>-1497949.02</v>
          </cell>
          <cell r="G211">
            <v>-1000926.22</v>
          </cell>
          <cell r="H211">
            <v>-1308814.8</v>
          </cell>
          <cell r="I211">
            <v>-836891.07</v>
          </cell>
          <cell r="J211">
            <v>-1911021.26</v>
          </cell>
          <cell r="K211">
            <v>-2044211.58</v>
          </cell>
          <cell r="L211">
            <v>-1220048.04</v>
          </cell>
          <cell r="M211">
            <v>-1432517</v>
          </cell>
          <cell r="N211">
            <v>-977075.08</v>
          </cell>
          <cell r="O211">
            <v>-409756.51</v>
          </cell>
          <cell r="P211">
            <v>-1722820.56</v>
          </cell>
          <cell r="Q211">
            <v>-1060830.73</v>
          </cell>
          <cell r="R211">
            <v>-574520.71</v>
          </cell>
          <cell r="S211">
            <v>-1276694.08</v>
          </cell>
          <cell r="T211">
            <v>-1229136.94</v>
          </cell>
          <cell r="U211">
            <v>-1416357.64</v>
          </cell>
          <cell r="V211">
            <v>-2849186.9</v>
          </cell>
          <cell r="W211">
            <v>-1486442.65</v>
          </cell>
          <cell r="X211">
            <v>-2084990.99</v>
          </cell>
          <cell r="Y211">
            <v>-1406290.84</v>
          </cell>
          <cell r="Z211">
            <v>-1179775.95</v>
          </cell>
          <cell r="AA211">
            <v>-1501843.93</v>
          </cell>
          <cell r="AB211">
            <v>-1310185.71</v>
          </cell>
          <cell r="AC211">
            <v>-892053.01</v>
          </cell>
          <cell r="AD211">
            <v>-2428530.02</v>
          </cell>
          <cell r="AE211">
            <v>-2441225.33</v>
          </cell>
          <cell r="AF211">
            <v>-1518030.5</v>
          </cell>
          <cell r="AG211">
            <v>-1390650.19</v>
          </cell>
          <cell r="AH211">
            <v>-2371173.4</v>
          </cell>
          <cell r="AI211">
            <v>-1175030.1399999999</v>
          </cell>
          <cell r="AJ211">
            <v>-1655078.38</v>
          </cell>
          <cell r="AK211">
            <v>-1798185.64</v>
          </cell>
          <cell r="AL211">
            <v>-2831476.58</v>
          </cell>
          <cell r="AM211">
            <v>-1426032.02</v>
          </cell>
          <cell r="AN211">
            <v>-2700314.35</v>
          </cell>
          <cell r="AO211">
            <v>-852478.8</v>
          </cell>
          <cell r="AP211">
            <v>-2009418.18</v>
          </cell>
          <cell r="AQ211">
            <v>-1533682.42</v>
          </cell>
          <cell r="AR211">
            <v>-1124234.94</v>
          </cell>
          <cell r="AS211">
            <v>-2487243.08</v>
          </cell>
          <cell r="AT211">
            <v>-1307447.8500000001</v>
          </cell>
          <cell r="AU211">
            <v>-1770144.56</v>
          </cell>
          <cell r="AV211">
            <v>-3092338</v>
          </cell>
          <cell r="AW211">
            <v>-1601378.58</v>
          </cell>
          <cell r="AX211">
            <v>-2118362.2999999998</v>
          </cell>
          <cell r="AY211">
            <v>-1562049.97</v>
          </cell>
          <cell r="AZ211">
            <v>-4842419.4000000004</v>
          </cell>
          <cell r="BA211">
            <v>-1598781.54</v>
          </cell>
          <cell r="BB211">
            <v>-1379947.66</v>
          </cell>
          <cell r="BC211">
            <v>-2407141.14</v>
          </cell>
          <cell r="BD211">
            <v>-2451014.39</v>
          </cell>
          <cell r="BE211">
            <v>-2938867.7</v>
          </cell>
          <cell r="BF211">
            <v>-2642953.38</v>
          </cell>
          <cell r="BG211">
            <v>-2871589.07</v>
          </cell>
          <cell r="BH211">
            <v>-3896340.93</v>
          </cell>
          <cell r="BI211">
            <v>-2962818.52</v>
          </cell>
          <cell r="BJ211">
            <v>-4566334.28</v>
          </cell>
          <cell r="BK211">
            <v>-2059321.92</v>
          </cell>
          <cell r="BL211">
            <v>-8451893.4199999999</v>
          </cell>
          <cell r="BM211">
            <v>-2527412.5299999998</v>
          </cell>
          <cell r="BN211">
            <v>-4887135.2300000004</v>
          </cell>
          <cell r="BO211">
            <v>-3633207.11</v>
          </cell>
          <cell r="BP211">
            <v>-4305534.9400000004</v>
          </cell>
          <cell r="BQ211">
            <v>-2697708.21</v>
          </cell>
          <cell r="BR211">
            <v>-2193080.15</v>
          </cell>
          <cell r="BS211">
            <v>-2392763.04</v>
          </cell>
          <cell r="BT211">
            <v>-3192070.45</v>
          </cell>
          <cell r="BU211">
            <v>-3924777.21</v>
          </cell>
          <cell r="BV211">
            <v>-5316389.84</v>
          </cell>
          <cell r="BW211">
            <v>-4128527.38</v>
          </cell>
          <cell r="BX211">
            <v>-9614501.4100000001</v>
          </cell>
          <cell r="BY211">
            <v>-2698142.37</v>
          </cell>
          <cell r="BZ211">
            <v>-5636327.5999999996</v>
          </cell>
          <cell r="CA211">
            <v>-5562861.2800000003</v>
          </cell>
          <cell r="CB211">
            <v>-8209555.5499999998</v>
          </cell>
          <cell r="CC211">
            <v>-4981080.79</v>
          </cell>
          <cell r="CD211">
            <v>-4009397.01</v>
          </cell>
          <cell r="CE211">
            <v>-3496423.66</v>
          </cell>
          <cell r="CF211">
            <v>-3408221.18</v>
          </cell>
          <cell r="CG211">
            <v>-4916209.79</v>
          </cell>
          <cell r="CH211">
            <v>-3570287.07</v>
          </cell>
          <cell r="CI211">
            <v>-3612930.79</v>
          </cell>
          <cell r="CJ211">
            <v>-3202415.83</v>
          </cell>
          <cell r="CK211">
            <v>-8159079.9500000002</v>
          </cell>
          <cell r="CL211">
            <v>-6720217.7800000003</v>
          </cell>
          <cell r="CM211">
            <v>-3944590.89</v>
          </cell>
          <cell r="CN211">
            <v>-7815532.8899999997</v>
          </cell>
          <cell r="CO211">
            <v>-6982893.3899999997</v>
          </cell>
          <cell r="CP211">
            <v>-6290207.3200000003</v>
          </cell>
          <cell r="CQ211">
            <v>-8313331.1299999999</v>
          </cell>
          <cell r="CR211">
            <v>-5473028.3099999996</v>
          </cell>
          <cell r="CS211">
            <v>-4163505.2</v>
          </cell>
          <cell r="CT211">
            <v>-6640519.7699999996</v>
          </cell>
          <cell r="CU211">
            <v>-5221517.03</v>
          </cell>
          <cell r="CV211">
            <v>-15323568.119999999</v>
          </cell>
          <cell r="CW211">
            <v>-7971984.5700000003</v>
          </cell>
          <cell r="CX211">
            <v>-10334435.16</v>
          </cell>
          <cell r="CY211">
            <v>-9155467.4100000001</v>
          </cell>
          <cell r="CZ211">
            <v>-8994049.4600000009</v>
          </cell>
          <cell r="DA211">
            <v>-8599966.3000000007</v>
          </cell>
          <cell r="DB211">
            <v>-8480826.0800000001</v>
          </cell>
          <cell r="DC211">
            <v>-9630762.4299999997</v>
          </cell>
          <cell r="DD211">
            <v>-15177466.17</v>
          </cell>
          <cell r="DE211">
            <v>-10281087.99</v>
          </cell>
          <cell r="DF211">
            <v>-9671525.9399999995</v>
          </cell>
          <cell r="DG211">
            <v>-9131398.3000000007</v>
          </cell>
          <cell r="DH211">
            <v>-8070802.5800000001</v>
          </cell>
        </row>
        <row r="212">
          <cell r="A212" t="str">
            <v>2320001</v>
          </cell>
          <cell r="B212" t="str">
            <v>2320001</v>
          </cell>
          <cell r="C212" t="str">
            <v>AP Manual Accruals</v>
          </cell>
          <cell r="D212">
            <v>-3453451.31</v>
          </cell>
          <cell r="E212">
            <v>-2819439.69</v>
          </cell>
          <cell r="F212">
            <v>-3930007.09</v>
          </cell>
          <cell r="G212">
            <v>-3814215.33</v>
          </cell>
          <cell r="H212">
            <v>-1528903.06</v>
          </cell>
          <cell r="I212">
            <v>-701052.49</v>
          </cell>
          <cell r="J212">
            <v>-1260754.52</v>
          </cell>
          <cell r="K212">
            <v>-741509.76</v>
          </cell>
          <cell r="L212">
            <v>-5054576.4800000004</v>
          </cell>
          <cell r="M212">
            <v>-2462144.14</v>
          </cell>
          <cell r="N212">
            <v>-116162.61</v>
          </cell>
          <cell r="O212">
            <v>-5356339.6900000004</v>
          </cell>
          <cell r="P212">
            <v>-4942991.16</v>
          </cell>
          <cell r="Q212">
            <v>-3987683.77</v>
          </cell>
          <cell r="R212">
            <v>-3632853.47</v>
          </cell>
          <cell r="S212">
            <v>-3814560.02</v>
          </cell>
          <cell r="T212">
            <v>-3180504.78</v>
          </cell>
          <cell r="U212">
            <v>-623474.99</v>
          </cell>
          <cell r="V212">
            <v>-694808.48</v>
          </cell>
          <cell r="W212">
            <v>-1861614.33</v>
          </cell>
          <cell r="X212">
            <v>-904402.84</v>
          </cell>
          <cell r="Y212">
            <v>-731212.58</v>
          </cell>
          <cell r="Z212">
            <v>-822378.33</v>
          </cell>
          <cell r="AA212">
            <v>-4558947.1500000004</v>
          </cell>
          <cell r="AB212">
            <v>-5208767.45</v>
          </cell>
          <cell r="AC212">
            <v>-4225830.3099999996</v>
          </cell>
          <cell r="AD212">
            <v>-3539957.93</v>
          </cell>
          <cell r="AE212">
            <v>-731090.65</v>
          </cell>
          <cell r="AF212">
            <v>-4455622.01</v>
          </cell>
          <cell r="AG212">
            <v>-3939960.35</v>
          </cell>
          <cell r="AH212">
            <v>-6884671.4500000002</v>
          </cell>
          <cell r="AI212">
            <v>-6692520.3099999996</v>
          </cell>
          <cell r="AJ212">
            <v>-3346956.1</v>
          </cell>
          <cell r="AK212">
            <v>-4555547.12</v>
          </cell>
          <cell r="AL212">
            <v>-3659633.33</v>
          </cell>
          <cell r="AM212">
            <v>-12688578.65</v>
          </cell>
          <cell r="AN212">
            <v>-6900685.4500000002</v>
          </cell>
          <cell r="AO212">
            <v>-4373303.43</v>
          </cell>
          <cell r="AP212">
            <v>-4702395.62</v>
          </cell>
          <cell r="AQ212">
            <v>-2943224.93</v>
          </cell>
          <cell r="AR212">
            <v>-3980366.25</v>
          </cell>
          <cell r="AS212">
            <v>-3848053.51</v>
          </cell>
          <cell r="AT212">
            <v>-3268809.6</v>
          </cell>
          <cell r="AU212">
            <v>-4378193.01</v>
          </cell>
          <cell r="AV212">
            <v>-5036232.18</v>
          </cell>
          <cell r="AW212">
            <v>-2881148.28</v>
          </cell>
          <cell r="AX212">
            <v>-3676158.34</v>
          </cell>
          <cell r="AY212">
            <v>-12570547.470000001</v>
          </cell>
          <cell r="AZ212">
            <v>-6951546.7199999997</v>
          </cell>
          <cell r="BA212">
            <v>-5762580.0300000003</v>
          </cell>
          <cell r="BB212">
            <v>-8678822.25</v>
          </cell>
          <cell r="BC212">
            <v>-4437380.91</v>
          </cell>
          <cell r="BD212">
            <v>-6430479.7400000002</v>
          </cell>
          <cell r="BE212">
            <v>-6113605.3300000001</v>
          </cell>
          <cell r="BF212">
            <v>-7736263.2999999998</v>
          </cell>
          <cell r="BG212">
            <v>-8365029.8300000001</v>
          </cell>
          <cell r="BH212">
            <v>-9268914.8200000003</v>
          </cell>
          <cell r="BI212">
            <v>-9460726.5</v>
          </cell>
          <cell r="BJ212">
            <v>-9455322.1500000004</v>
          </cell>
          <cell r="BK212">
            <v>-24748264.780000001</v>
          </cell>
          <cell r="BL212">
            <v>-8820386.4900000002</v>
          </cell>
          <cell r="BM212">
            <v>-13036248.85</v>
          </cell>
          <cell r="BN212">
            <v>-10020984.43</v>
          </cell>
          <cell r="BO212">
            <v>-15229265.93</v>
          </cell>
          <cell r="BP212">
            <v>-11202396.869999999</v>
          </cell>
          <cell r="BQ212">
            <v>-11554410.75</v>
          </cell>
          <cell r="BR212">
            <v>-13234833.880000001</v>
          </cell>
          <cell r="BS212">
            <v>-11519252.289999999</v>
          </cell>
          <cell r="BT212">
            <v>-14608673.09</v>
          </cell>
          <cell r="BU212">
            <v>-11099185.119999999</v>
          </cell>
          <cell r="BV212">
            <v>-10661296.039999999</v>
          </cell>
          <cell r="BW212">
            <v>-16929852.219999999</v>
          </cell>
          <cell r="BX212">
            <v>-18218410.109999999</v>
          </cell>
          <cell r="BY212">
            <v>-23950973.390000001</v>
          </cell>
          <cell r="BZ212">
            <v>-23025163.100000001</v>
          </cell>
          <cell r="CA212">
            <v>-17891765.07</v>
          </cell>
          <cell r="CB212">
            <v>-24084554.809999999</v>
          </cell>
          <cell r="CC212">
            <v>-22047623.010000002</v>
          </cell>
          <cell r="CD212">
            <v>-13307261.869999999</v>
          </cell>
          <cell r="CE212">
            <v>-15536345.49</v>
          </cell>
          <cell r="CF212">
            <v>-20910382.91</v>
          </cell>
          <cell r="CG212">
            <v>-20130593.370000001</v>
          </cell>
          <cell r="CH212">
            <v>-26406269.690000001</v>
          </cell>
          <cell r="CI212">
            <v>-31320550.359999999</v>
          </cell>
          <cell r="CJ212">
            <v>-22360196.82</v>
          </cell>
          <cell r="CK212">
            <v>-22856131.789999999</v>
          </cell>
          <cell r="CL212">
            <v>-25626003.949999999</v>
          </cell>
          <cell r="CM212">
            <v>-24058776.890000001</v>
          </cell>
          <cell r="CN212">
            <v>-18948183.300000001</v>
          </cell>
          <cell r="CO212">
            <v>-13855295.08</v>
          </cell>
          <cell r="CP212">
            <v>-14799978.59</v>
          </cell>
          <cell r="CQ212">
            <v>-18260978.640000001</v>
          </cell>
          <cell r="CR212">
            <v>-17736604.18</v>
          </cell>
          <cell r="CS212">
            <v>-17900411.149999999</v>
          </cell>
          <cell r="CT212">
            <v>-22772647.559999999</v>
          </cell>
          <cell r="CU212">
            <v>-35115082.060000002</v>
          </cell>
          <cell r="CV212">
            <v>-13929648.75</v>
          </cell>
          <cell r="CW212">
            <v>-19621005.41</v>
          </cell>
          <cell r="CX212">
            <v>-14984731.27</v>
          </cell>
          <cell r="CY212">
            <v>-14427055.970000001</v>
          </cell>
          <cell r="CZ212">
            <v>-13714855.02</v>
          </cell>
          <cell r="DA212">
            <v>-17711385.699999999</v>
          </cell>
          <cell r="DB212">
            <v>-16474450.529999999</v>
          </cell>
          <cell r="DC212">
            <v>-13510604.060000001</v>
          </cell>
          <cell r="DD212">
            <v>-10398224.77</v>
          </cell>
          <cell r="DE212">
            <v>-10449315.84</v>
          </cell>
          <cell r="DF212">
            <v>-8765228.9900000002</v>
          </cell>
          <cell r="DG212">
            <v>-27558984.329999998</v>
          </cell>
          <cell r="DH212">
            <v>-22452424.489999998</v>
          </cell>
        </row>
        <row r="213">
          <cell r="A213" t="str">
            <v>2320002</v>
          </cell>
          <cell r="B213" t="str">
            <v>2320002</v>
          </cell>
          <cell r="C213" t="str">
            <v>AP GR/IR Clearing</v>
          </cell>
          <cell r="D213">
            <v>-3301131.96</v>
          </cell>
          <cell r="E213">
            <v>-1917989.26</v>
          </cell>
          <cell r="F213">
            <v>-2141320.5699999998</v>
          </cell>
          <cell r="G213">
            <v>-2791632.59</v>
          </cell>
          <cell r="H213">
            <v>-3452582</v>
          </cell>
          <cell r="I213">
            <v>-1657415.22</v>
          </cell>
          <cell r="J213">
            <v>-2436107.31</v>
          </cell>
          <cell r="K213">
            <v>-2215640.83</v>
          </cell>
          <cell r="L213">
            <v>-2187923.41</v>
          </cell>
          <cell r="M213">
            <v>-2632156.04</v>
          </cell>
          <cell r="N213">
            <v>-2527220.7400000002</v>
          </cell>
          <cell r="O213">
            <v>-3177372.86</v>
          </cell>
          <cell r="P213">
            <v>-1693450.82</v>
          </cell>
          <cell r="Q213">
            <v>-1917790.1</v>
          </cell>
          <cell r="R213">
            <v>-1555172.27</v>
          </cell>
          <cell r="S213">
            <v>-1719355.23</v>
          </cell>
          <cell r="T213">
            <v>-2092143.57</v>
          </cell>
          <cell r="U213">
            <v>-2354632.25</v>
          </cell>
          <cell r="V213">
            <v>-1293879.01</v>
          </cell>
          <cell r="W213">
            <v>-2550152.09</v>
          </cell>
          <cell r="X213">
            <v>-2356300.39</v>
          </cell>
          <cell r="Y213">
            <v>-2266581.38</v>
          </cell>
          <cell r="Z213">
            <v>-3132244.53</v>
          </cell>
          <cell r="AA213">
            <v>-2554939.9900000002</v>
          </cell>
          <cell r="AB213">
            <v>-3165327.1</v>
          </cell>
          <cell r="AC213">
            <v>-2362960</v>
          </cell>
          <cell r="AD213">
            <v>-2043161.22</v>
          </cell>
          <cell r="AE213">
            <v>-2099831.06</v>
          </cell>
          <cell r="AF213">
            <v>-3371604.43</v>
          </cell>
          <cell r="AG213">
            <v>-2299297.27</v>
          </cell>
          <cell r="AH213">
            <v>-4200123.4400000004</v>
          </cell>
          <cell r="AI213">
            <v>-3575150.1</v>
          </cell>
          <cell r="AJ213">
            <v>-3629903.98</v>
          </cell>
          <cell r="AK213">
            <v>-2633979.02</v>
          </cell>
          <cell r="AL213">
            <v>-4148161.56</v>
          </cell>
          <cell r="AM213">
            <v>-4344244.95</v>
          </cell>
          <cell r="AN213">
            <v>-3930108.29</v>
          </cell>
          <cell r="AO213">
            <v>-2377833.86</v>
          </cell>
          <cell r="AP213">
            <v>-2340302.2999999998</v>
          </cell>
          <cell r="AQ213">
            <v>-2691321.37</v>
          </cell>
          <cell r="AR213">
            <v>-2386332.52</v>
          </cell>
          <cell r="AS213">
            <v>-2175827.21</v>
          </cell>
          <cell r="AT213">
            <v>-3129363.6</v>
          </cell>
          <cell r="AU213">
            <v>-3378353.67</v>
          </cell>
          <cell r="AV213">
            <v>-3580233.82</v>
          </cell>
          <cell r="AW213">
            <v>-3128538.41</v>
          </cell>
          <cell r="AX213">
            <v>-3213928.87</v>
          </cell>
          <cell r="AY213">
            <v>-3527473.85</v>
          </cell>
          <cell r="AZ213">
            <v>-3633050.89</v>
          </cell>
          <cell r="BA213">
            <v>-5387990.9900000002</v>
          </cell>
          <cell r="BB213">
            <v>-3793515.92</v>
          </cell>
          <cell r="BC213">
            <v>-5276612.16</v>
          </cell>
          <cell r="BD213">
            <v>-3844373.01</v>
          </cell>
          <cell r="BE213">
            <v>-6678611.5</v>
          </cell>
          <cell r="BF213">
            <v>-3849373.86</v>
          </cell>
          <cell r="BG213">
            <v>-4802570.75</v>
          </cell>
          <cell r="BH213">
            <v>-4058366.83</v>
          </cell>
          <cell r="BI213">
            <v>-6513091.0199999996</v>
          </cell>
          <cell r="BJ213">
            <v>-4906871.1100000003</v>
          </cell>
          <cell r="BK213">
            <v>-5104624.6900000004</v>
          </cell>
          <cell r="BL213">
            <v>-4417950.99</v>
          </cell>
          <cell r="BM213">
            <v>-4871466.04</v>
          </cell>
          <cell r="BN213">
            <v>-4513984.25</v>
          </cell>
          <cell r="BO213">
            <v>-4393445.84</v>
          </cell>
          <cell r="BP213">
            <v>-4761087.9800000004</v>
          </cell>
          <cell r="BQ213">
            <v>-8518311.2200000007</v>
          </cell>
          <cell r="BR213">
            <v>-7280614.3799999999</v>
          </cell>
          <cell r="BS213">
            <v>-6055981.21</v>
          </cell>
          <cell r="BT213">
            <v>-5639959.3099999996</v>
          </cell>
          <cell r="BU213">
            <v>-4079611.67</v>
          </cell>
          <cell r="BV213">
            <v>-6914829.0999999996</v>
          </cell>
          <cell r="BW213">
            <v>-7139324.3099999996</v>
          </cell>
          <cell r="BX213">
            <v>-9643715.8499999996</v>
          </cell>
          <cell r="BY213">
            <v>-11945900.07</v>
          </cell>
          <cell r="BZ213">
            <v>-8902251.6600000001</v>
          </cell>
          <cell r="CA213">
            <v>-12733679.6</v>
          </cell>
          <cell r="CB213">
            <v>-11008884.43</v>
          </cell>
          <cell r="CC213">
            <v>-12806753.779999999</v>
          </cell>
          <cell r="CD213">
            <v>-14488846.130000001</v>
          </cell>
          <cell r="CE213">
            <v>-14620200.23</v>
          </cell>
          <cell r="CF213">
            <v>-15897090.24</v>
          </cell>
          <cell r="CG213">
            <v>-19564867.399999999</v>
          </cell>
          <cell r="CH213">
            <v>-20799338.16</v>
          </cell>
          <cell r="CI213">
            <v>-24740284.739999998</v>
          </cell>
          <cell r="CJ213">
            <v>-31219966.530000001</v>
          </cell>
          <cell r="CK213">
            <v>-18815989.390000001</v>
          </cell>
          <cell r="CL213">
            <v>-16215563.1</v>
          </cell>
          <cell r="CM213">
            <v>-21933750.079999998</v>
          </cell>
          <cell r="CN213">
            <v>-18048300.399999999</v>
          </cell>
          <cell r="CO213">
            <v>-14153545.09</v>
          </cell>
          <cell r="CP213">
            <v>-13290470.810000001</v>
          </cell>
          <cell r="CQ213">
            <v>-14121136.98</v>
          </cell>
          <cell r="CR213">
            <v>-21672715.5</v>
          </cell>
          <cell r="CS213">
            <v>-25240111.579999998</v>
          </cell>
          <cell r="CT213">
            <v>-20606567.23</v>
          </cell>
          <cell r="CU213">
            <v>-17109285.359999999</v>
          </cell>
          <cell r="CV213">
            <v>-17682048.309999999</v>
          </cell>
          <cell r="CW213">
            <v>-12299793.060000001</v>
          </cell>
          <cell r="CX213">
            <v>-11404201.26</v>
          </cell>
          <cell r="CY213">
            <v>-8693325.0399999991</v>
          </cell>
          <cell r="CZ213">
            <v>-7679241.0800000001</v>
          </cell>
          <cell r="DA213">
            <v>-7758918.9400000004</v>
          </cell>
          <cell r="DB213">
            <v>-8977280.4000000004</v>
          </cell>
          <cell r="DC213">
            <v>-8580768.8699999992</v>
          </cell>
          <cell r="DD213">
            <v>-9155647.4399999995</v>
          </cell>
          <cell r="DE213">
            <v>-7410483.0099999998</v>
          </cell>
          <cell r="DF213">
            <v>-11608029.4</v>
          </cell>
          <cell r="DG213">
            <v>-9538416.3900000006</v>
          </cell>
          <cell r="DH213">
            <v>-8835893.6999999993</v>
          </cell>
        </row>
        <row r="214">
          <cell r="A214" t="str">
            <v>2320003</v>
          </cell>
          <cell r="B214" t="str">
            <v>2320003</v>
          </cell>
          <cell r="C214" t="str">
            <v>AP P-Card Clearing</v>
          </cell>
          <cell r="D214">
            <v>-116243.16</v>
          </cell>
          <cell r="E214">
            <v>0</v>
          </cell>
          <cell r="F214">
            <v>0</v>
          </cell>
          <cell r="G214">
            <v>0</v>
          </cell>
          <cell r="H214">
            <v>0</v>
          </cell>
          <cell r="I214">
            <v>0</v>
          </cell>
          <cell r="J214">
            <v>0</v>
          </cell>
          <cell r="K214">
            <v>15</v>
          </cell>
          <cell r="L214">
            <v>15</v>
          </cell>
          <cell r="M214">
            <v>15</v>
          </cell>
          <cell r="N214">
            <v>-411.93</v>
          </cell>
          <cell r="O214">
            <v>15</v>
          </cell>
          <cell r="P214">
            <v>-74229.91</v>
          </cell>
          <cell r="Q214">
            <v>220.38</v>
          </cell>
          <cell r="R214">
            <v>0</v>
          </cell>
          <cell r="S214">
            <v>0</v>
          </cell>
          <cell r="T214">
            <v>1.02</v>
          </cell>
          <cell r="U214">
            <v>1.02</v>
          </cell>
          <cell r="V214">
            <v>1.02</v>
          </cell>
          <cell r="W214">
            <v>1.02</v>
          </cell>
          <cell r="X214">
            <v>1.02</v>
          </cell>
          <cell r="Y214">
            <v>1.02</v>
          </cell>
          <cell r="Z214">
            <v>898.99</v>
          </cell>
          <cell r="AA214">
            <v>898.99</v>
          </cell>
          <cell r="AB214">
            <v>-108254.28</v>
          </cell>
          <cell r="AC214">
            <v>898.99</v>
          </cell>
          <cell r="AD214">
            <v>898.99</v>
          </cell>
          <cell r="AE214">
            <v>898.99</v>
          </cell>
          <cell r="AF214">
            <v>898.99</v>
          </cell>
          <cell r="AG214">
            <v>898.99</v>
          </cell>
          <cell r="AH214">
            <v>898.99</v>
          </cell>
          <cell r="AI214">
            <v>898.99</v>
          </cell>
          <cell r="AJ214">
            <v>898.99</v>
          </cell>
          <cell r="AK214">
            <v>886.89</v>
          </cell>
          <cell r="AL214">
            <v>874.63</v>
          </cell>
          <cell r="AM214">
            <v>874.63</v>
          </cell>
          <cell r="AN214">
            <v>-147343.85999999999</v>
          </cell>
          <cell r="AO214">
            <v>874.63</v>
          </cell>
          <cell r="AP214">
            <v>874.63</v>
          </cell>
          <cell r="AQ214">
            <v>874.63</v>
          </cell>
          <cell r="AR214">
            <v>2250.3000000000002</v>
          </cell>
          <cell r="AS214">
            <v>2250.3000000000002</v>
          </cell>
          <cell r="AT214">
            <v>2250.3000000000002</v>
          </cell>
          <cell r="AU214">
            <v>2250.3000000000002</v>
          </cell>
          <cell r="AV214">
            <v>2250.3000000000002</v>
          </cell>
          <cell r="AW214">
            <v>2250.3000000000002</v>
          </cell>
          <cell r="AX214">
            <v>2250.3000000000002</v>
          </cell>
          <cell r="AY214">
            <v>2250.3000000000002</v>
          </cell>
          <cell r="AZ214">
            <v>-142692.73000000001</v>
          </cell>
          <cell r="BA214">
            <v>2250.3000000000002</v>
          </cell>
          <cell r="BB214">
            <v>2250.3000000000002</v>
          </cell>
          <cell r="BC214">
            <v>2250.3000000000002</v>
          </cell>
          <cell r="BD214">
            <v>2250.3000000000002</v>
          </cell>
          <cell r="BE214">
            <v>2250.3000000000002</v>
          </cell>
          <cell r="BF214">
            <v>2250.3000000000002</v>
          </cell>
          <cell r="BG214">
            <v>2250.3000000000002</v>
          </cell>
          <cell r="BH214">
            <v>2250.3000000000002</v>
          </cell>
          <cell r="BI214">
            <v>2204.84</v>
          </cell>
          <cell r="BJ214">
            <v>2253.44</v>
          </cell>
          <cell r="BK214">
            <v>2256.58</v>
          </cell>
          <cell r="BL214">
            <v>-155958.54999999999</v>
          </cell>
          <cell r="BM214">
            <v>6.28</v>
          </cell>
          <cell r="BN214">
            <v>-4.6399999999999997</v>
          </cell>
          <cell r="BO214">
            <v>0</v>
          </cell>
          <cell r="BP214">
            <v>0</v>
          </cell>
          <cell r="BQ214">
            <v>-10.7</v>
          </cell>
          <cell r="BR214">
            <v>-10.7</v>
          </cell>
          <cell r="BS214">
            <v>0</v>
          </cell>
          <cell r="BT214">
            <v>-48.05</v>
          </cell>
          <cell r="BU214">
            <v>0</v>
          </cell>
          <cell r="BV214">
            <v>0</v>
          </cell>
          <cell r="BW214">
            <v>0</v>
          </cell>
          <cell r="BX214">
            <v>-176744.79</v>
          </cell>
          <cell r="BY214">
            <v>0</v>
          </cell>
          <cell r="BZ214">
            <v>0</v>
          </cell>
          <cell r="CA214">
            <v>0</v>
          </cell>
          <cell r="CB214">
            <v>-37.31</v>
          </cell>
          <cell r="CC214">
            <v>-36.78</v>
          </cell>
          <cell r="CD214">
            <v>-36.78</v>
          </cell>
          <cell r="CE214">
            <v>-8968.7199999999993</v>
          </cell>
          <cell r="CF214">
            <v>-80875.839999999997</v>
          </cell>
          <cell r="CG214">
            <v>-53706.16</v>
          </cell>
          <cell r="CH214">
            <v>-41311.769999999997</v>
          </cell>
          <cell r="CI214">
            <v>-48944.639999999999</v>
          </cell>
          <cell r="CJ214">
            <v>-101934.11</v>
          </cell>
          <cell r="CK214">
            <v>-31816.77</v>
          </cell>
          <cell r="CL214">
            <v>-19959.759999999998</v>
          </cell>
          <cell r="CM214">
            <v>-29094.91</v>
          </cell>
          <cell r="CN214">
            <v>-38452.58</v>
          </cell>
          <cell r="CO214">
            <v>-42801.95</v>
          </cell>
          <cell r="CP214">
            <v>-38260.32</v>
          </cell>
          <cell r="CQ214">
            <v>-29891.48</v>
          </cell>
          <cell r="CR214">
            <v>-57539.71</v>
          </cell>
          <cell r="CS214">
            <v>-8747.2999999999993</v>
          </cell>
          <cell r="CT214">
            <v>-5525.62</v>
          </cell>
          <cell r="CU214">
            <v>37628.29</v>
          </cell>
          <cell r="CV214">
            <v>-105578.99</v>
          </cell>
          <cell r="CW214">
            <v>-36836.800000000003</v>
          </cell>
          <cell r="CX214">
            <v>-35070.04</v>
          </cell>
          <cell r="CY214">
            <v>-272430.73</v>
          </cell>
          <cell r="CZ214">
            <v>-14383.26</v>
          </cell>
          <cell r="DA214">
            <v>11092.13</v>
          </cell>
          <cell r="DB214">
            <v>79999.53</v>
          </cell>
          <cell r="DC214">
            <v>174492.23</v>
          </cell>
          <cell r="DD214">
            <v>20875.07</v>
          </cell>
          <cell r="DE214">
            <v>59672.22</v>
          </cell>
          <cell r="DF214">
            <v>76663.89</v>
          </cell>
          <cell r="DG214">
            <v>82761.58</v>
          </cell>
          <cell r="DH214">
            <v>20394.439999999999</v>
          </cell>
        </row>
        <row r="215">
          <cell r="A215" t="str">
            <v>2320005</v>
          </cell>
          <cell r="B215" t="str">
            <v>2320005</v>
          </cell>
          <cell r="C215" t="str">
            <v>AP Employee Expenses</v>
          </cell>
          <cell r="D215">
            <v>-822.41</v>
          </cell>
          <cell r="E215">
            <v>0</v>
          </cell>
          <cell r="F215">
            <v>-6169.87</v>
          </cell>
          <cell r="G215">
            <v>-116.48</v>
          </cell>
          <cell r="H215">
            <v>-1187.2</v>
          </cell>
          <cell r="I215">
            <v>-106.71</v>
          </cell>
          <cell r="J215">
            <v>-380.64</v>
          </cell>
          <cell r="K215">
            <v>-117.4</v>
          </cell>
          <cell r="L215">
            <v>0</v>
          </cell>
          <cell r="M215">
            <v>-3364.25</v>
          </cell>
          <cell r="N215">
            <v>-30</v>
          </cell>
          <cell r="O215">
            <v>-30</v>
          </cell>
          <cell r="P215">
            <v>-167.24</v>
          </cell>
          <cell r="Q215">
            <v>0</v>
          </cell>
          <cell r="R215">
            <v>-157.75</v>
          </cell>
          <cell r="S215">
            <v>-30.1</v>
          </cell>
          <cell r="T215">
            <v>-1102.93</v>
          </cell>
          <cell r="U215">
            <v>-3146.69</v>
          </cell>
          <cell r="V215">
            <v>-4736.12</v>
          </cell>
          <cell r="W215">
            <v>0</v>
          </cell>
          <cell r="X215">
            <v>0</v>
          </cell>
          <cell r="Y215">
            <v>-5776.65</v>
          </cell>
          <cell r="Z215">
            <v>-3430.93</v>
          </cell>
          <cell r="AA215">
            <v>-718.29</v>
          </cell>
          <cell r="AB215">
            <v>0</v>
          </cell>
          <cell r="AC215">
            <v>-1209.8</v>
          </cell>
          <cell r="AD215">
            <v>0</v>
          </cell>
          <cell r="AE215">
            <v>0</v>
          </cell>
          <cell r="AF215">
            <v>-58.18</v>
          </cell>
          <cell r="AG215">
            <v>0</v>
          </cell>
          <cell r="AH215">
            <v>-23565.85</v>
          </cell>
          <cell r="AI215">
            <v>-7706.12</v>
          </cell>
          <cell r="AJ215">
            <v>-17287.689999999999</v>
          </cell>
          <cell r="AK215">
            <v>-6755.63</v>
          </cell>
          <cell r="AL215">
            <v>-9920.91</v>
          </cell>
          <cell r="AM215">
            <v>-3918.07</v>
          </cell>
          <cell r="AN215">
            <v>-7251.83</v>
          </cell>
          <cell r="AO215">
            <v>-9342.25</v>
          </cell>
          <cell r="AP215">
            <v>-6333.74</v>
          </cell>
          <cell r="AQ215">
            <v>-7678.57</v>
          </cell>
          <cell r="AR215">
            <v>-9836.8700000000008</v>
          </cell>
          <cell r="AS215">
            <v>-7325.15</v>
          </cell>
          <cell r="AT215">
            <v>-3307.45</v>
          </cell>
          <cell r="AU215">
            <v>-12706.1</v>
          </cell>
          <cell r="AV215">
            <v>-8866.59</v>
          </cell>
          <cell r="AW215">
            <v>-1529.55</v>
          </cell>
          <cell r="AX215">
            <v>-3263.44</v>
          </cell>
          <cell r="AY215">
            <v>-3636.75</v>
          </cell>
          <cell r="AZ215">
            <v>-1200.51</v>
          </cell>
          <cell r="BA215">
            <v>-14266.91</v>
          </cell>
          <cell r="BB215">
            <v>-12260.46</v>
          </cell>
          <cell r="BC215">
            <v>-5727.5</v>
          </cell>
          <cell r="BD215">
            <v>-3476.55</v>
          </cell>
          <cell r="BE215">
            <v>-5870.9</v>
          </cell>
          <cell r="BF215">
            <v>-15603.25</v>
          </cell>
          <cell r="BG215">
            <v>-6749.29</v>
          </cell>
          <cell r="BH215">
            <v>-8857.2000000000007</v>
          </cell>
          <cell r="BI215">
            <v>-10741.27</v>
          </cell>
          <cell r="BJ215">
            <v>-6020.77</v>
          </cell>
          <cell r="BK215">
            <v>-12019.45</v>
          </cell>
          <cell r="BL215">
            <v>-5773.25</v>
          </cell>
          <cell r="BM215">
            <v>-11040.5</v>
          </cell>
          <cell r="BN215">
            <v>-4721.29</v>
          </cell>
          <cell r="BO215">
            <v>-6686.13</v>
          </cell>
          <cell r="BP215">
            <v>-3886.5</v>
          </cell>
          <cell r="BQ215">
            <v>-7282.56</v>
          </cell>
          <cell r="BR215">
            <v>-9613.7000000000007</v>
          </cell>
          <cell r="BS215">
            <v>-11178.19</v>
          </cell>
          <cell r="BT215">
            <v>-35713.449999999997</v>
          </cell>
          <cell r="BU215">
            <v>-8447.23</v>
          </cell>
          <cell r="BV215">
            <v>-5548.91</v>
          </cell>
          <cell r="BW215">
            <v>-9750.2999999999993</v>
          </cell>
          <cell r="BX215">
            <v>-10323.98</v>
          </cell>
          <cell r="BY215">
            <v>-11898.88</v>
          </cell>
          <cell r="BZ215">
            <v>-9570.7000000000007</v>
          </cell>
          <cell r="CA215">
            <v>-3862</v>
          </cell>
          <cell r="CB215">
            <v>-2260.36</v>
          </cell>
          <cell r="CC215">
            <v>-1104.58</v>
          </cell>
          <cell r="CD215">
            <v>-372.31</v>
          </cell>
          <cell r="CE215">
            <v>-2998.79</v>
          </cell>
          <cell r="CF215">
            <v>-7510.58</v>
          </cell>
          <cell r="CG215">
            <v>-1915.67</v>
          </cell>
          <cell r="CH215">
            <v>-7588.2</v>
          </cell>
          <cell r="CI215">
            <v>-2998.44</v>
          </cell>
          <cell r="CJ215">
            <v>-2114.4499999999998</v>
          </cell>
          <cell r="CK215">
            <v>-3229.03</v>
          </cell>
          <cell r="CL215">
            <v>-10962.34</v>
          </cell>
          <cell r="CM215">
            <v>-3667.46</v>
          </cell>
          <cell r="CN215">
            <v>-3543.1</v>
          </cell>
          <cell r="CO215">
            <v>-2834.41</v>
          </cell>
          <cell r="CP215">
            <v>-6302.87</v>
          </cell>
          <cell r="CQ215">
            <v>-4107.09</v>
          </cell>
          <cell r="CR215">
            <v>-3449.78</v>
          </cell>
          <cell r="CS215">
            <v>-5092.8599999999997</v>
          </cell>
          <cell r="CT215">
            <v>-5942.71</v>
          </cell>
          <cell r="CU215">
            <v>-14437.79</v>
          </cell>
          <cell r="CV215">
            <v>-17696.18</v>
          </cell>
          <cell r="CW215">
            <v>-5119.28</v>
          </cell>
          <cell r="CX215">
            <v>-7334.3</v>
          </cell>
          <cell r="CY215">
            <v>-6808.1</v>
          </cell>
          <cell r="CZ215">
            <v>-12879.84</v>
          </cell>
          <cell r="DA215">
            <v>-10980.25</v>
          </cell>
          <cell r="DB215">
            <v>-9420.09</v>
          </cell>
          <cell r="DC215">
            <v>-2465.7199999999998</v>
          </cell>
          <cell r="DD215">
            <v>-4234.34</v>
          </cell>
          <cell r="DE215">
            <v>-5642.24</v>
          </cell>
          <cell r="DF215">
            <v>-9408.18</v>
          </cell>
          <cell r="DG215">
            <v>-9083.24</v>
          </cell>
          <cell r="DH215">
            <v>-8290.09</v>
          </cell>
        </row>
        <row r="216">
          <cell r="A216" t="str">
            <v>2320006</v>
          </cell>
          <cell r="B216" t="str">
            <v>2320006</v>
          </cell>
          <cell r="C216" t="str">
            <v>AP Enrgy ConsrvAllow</v>
          </cell>
          <cell r="D216">
            <v>-350</v>
          </cell>
          <cell r="E216">
            <v>-9700</v>
          </cell>
          <cell r="F216">
            <v>-33670.720000000001</v>
          </cell>
          <cell r="G216">
            <v>-47530</v>
          </cell>
          <cell r="H216">
            <v>-106422.94</v>
          </cell>
          <cell r="I216">
            <v>-5243.58</v>
          </cell>
          <cell r="J216">
            <v>-24683.78</v>
          </cell>
          <cell r="K216">
            <v>-121910</v>
          </cell>
          <cell r="L216">
            <v>-16600</v>
          </cell>
          <cell r="M216">
            <v>-106825</v>
          </cell>
          <cell r="N216">
            <v>0</v>
          </cell>
          <cell r="O216">
            <v>-157875</v>
          </cell>
          <cell r="P216">
            <v>0</v>
          </cell>
          <cell r="Q216">
            <v>-55725</v>
          </cell>
          <cell r="R216">
            <v>-47775</v>
          </cell>
          <cell r="S216">
            <v>-91093.8</v>
          </cell>
          <cell r="T216">
            <v>-8625</v>
          </cell>
          <cell r="U216">
            <v>-133387.34</v>
          </cell>
          <cell r="V216">
            <v>-86390.32</v>
          </cell>
          <cell r="W216">
            <v>-30790.26</v>
          </cell>
          <cell r="X216">
            <v>-30774.5</v>
          </cell>
          <cell r="Y216">
            <v>-39825</v>
          </cell>
          <cell r="Z216">
            <v>-55250</v>
          </cell>
          <cell r="AA216">
            <v>-140250</v>
          </cell>
          <cell r="AB216">
            <v>-30250</v>
          </cell>
          <cell r="AC216">
            <v>-79560.240000000005</v>
          </cell>
          <cell r="AD216">
            <v>-34690</v>
          </cell>
          <cell r="AE216">
            <v>-51192</v>
          </cell>
          <cell r="AF216">
            <v>-450</v>
          </cell>
          <cell r="AG216">
            <v>-177125</v>
          </cell>
          <cell r="AH216">
            <v>-137715</v>
          </cell>
          <cell r="AI216">
            <v>-32025</v>
          </cell>
          <cell r="AJ216">
            <v>-133481.76</v>
          </cell>
          <cell r="AK216">
            <v>-14050</v>
          </cell>
          <cell r="AL216">
            <v>-95503</v>
          </cell>
          <cell r="AM216">
            <v>-19750</v>
          </cell>
          <cell r="AN216">
            <v>0</v>
          </cell>
          <cell r="AO216">
            <v>-608.67999999999995</v>
          </cell>
          <cell r="AP216">
            <v>-1049.75</v>
          </cell>
          <cell r="AQ216">
            <v>-1235.3599999999999</v>
          </cell>
          <cell r="AR216">
            <v>-516.42999999999995</v>
          </cell>
          <cell r="AS216">
            <v>-844.6</v>
          </cell>
          <cell r="AT216">
            <v>-307.47000000000003</v>
          </cell>
          <cell r="AU216">
            <v>-94.96</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-50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row>
        <row r="217">
          <cell r="A217" t="str">
            <v>2320007</v>
          </cell>
          <cell r="B217" t="str">
            <v>2320007</v>
          </cell>
          <cell r="C217" t="str">
            <v>AP Payroll</v>
          </cell>
          <cell r="D217">
            <v>-832646.19</v>
          </cell>
          <cell r="E217">
            <v>-1173355.49</v>
          </cell>
          <cell r="F217">
            <v>-1153015.58</v>
          </cell>
          <cell r="G217">
            <v>-1377601.36</v>
          </cell>
          <cell r="H217">
            <v>-1602049.68</v>
          </cell>
          <cell r="I217">
            <v>-598362.04</v>
          </cell>
          <cell r="J217">
            <v>-751011.74</v>
          </cell>
          <cell r="K217">
            <v>-1064662.26</v>
          </cell>
          <cell r="L217">
            <v>-1293795.01</v>
          </cell>
          <cell r="M217">
            <v>-1510796.8</v>
          </cell>
          <cell r="N217">
            <v>-539250.44999999995</v>
          </cell>
          <cell r="O217">
            <v>-658720.46</v>
          </cell>
          <cell r="P217">
            <v>-964594.12</v>
          </cell>
          <cell r="Q217">
            <v>-1252522.69</v>
          </cell>
          <cell r="R217">
            <v>-1244701.52</v>
          </cell>
          <cell r="S217">
            <v>-1507232.15</v>
          </cell>
          <cell r="T217">
            <v>-465162.49</v>
          </cell>
          <cell r="U217">
            <v>-675496.58</v>
          </cell>
          <cell r="V217">
            <v>-882340.63</v>
          </cell>
          <cell r="W217">
            <v>-1189384.58</v>
          </cell>
          <cell r="X217">
            <v>-1404243.46</v>
          </cell>
          <cell r="Y217">
            <v>-1635624.92</v>
          </cell>
          <cell r="Z217">
            <v>-644096.93000000005</v>
          </cell>
          <cell r="AA217">
            <v>-813448.55</v>
          </cell>
          <cell r="AB217">
            <v>-1165462.3999999999</v>
          </cell>
          <cell r="AC217">
            <v>-1503734.33</v>
          </cell>
          <cell r="AD217">
            <v>-1522508.18</v>
          </cell>
          <cell r="AE217">
            <v>-487938.44</v>
          </cell>
          <cell r="AF217">
            <v>-660089.55000000005</v>
          </cell>
          <cell r="AG217">
            <v>-945591.92</v>
          </cell>
          <cell r="AH217">
            <v>-1182544.1399999999</v>
          </cell>
          <cell r="AI217">
            <v>-1415122.22</v>
          </cell>
          <cell r="AJ217">
            <v>-1775525.9</v>
          </cell>
          <cell r="AK217">
            <v>-642832.84</v>
          </cell>
          <cell r="AL217">
            <v>-845521.8</v>
          </cell>
          <cell r="AM217">
            <v>-1102025.22</v>
          </cell>
          <cell r="AN217">
            <v>-1400138.51</v>
          </cell>
          <cell r="AO217">
            <v>-1770255.26</v>
          </cell>
          <cell r="AP217">
            <v>-1720422.24</v>
          </cell>
          <cell r="AQ217">
            <v>-632974.62</v>
          </cell>
          <cell r="AR217">
            <v>-712914.87</v>
          </cell>
          <cell r="AS217">
            <v>-1073200.2</v>
          </cell>
          <cell r="AT217">
            <v>-1316773.3600000001</v>
          </cell>
          <cell r="AU217">
            <v>-1531483.6</v>
          </cell>
          <cell r="AV217">
            <v>-508859.11</v>
          </cell>
          <cell r="AW217">
            <v>-731823.52</v>
          </cell>
          <cell r="AX217">
            <v>-985282.79</v>
          </cell>
          <cell r="AY217">
            <v>-1273409.31</v>
          </cell>
          <cell r="AZ217">
            <v>-1494217.91</v>
          </cell>
          <cell r="BA217">
            <v>-1957714.55</v>
          </cell>
          <cell r="BB217">
            <v>-1907503.82</v>
          </cell>
          <cell r="BC217">
            <v>-705381.16</v>
          </cell>
          <cell r="BD217">
            <v>-886587.34</v>
          </cell>
          <cell r="BE217">
            <v>-1293518.97</v>
          </cell>
          <cell r="BF217">
            <v>-1489445.54</v>
          </cell>
          <cell r="BG217">
            <v>-1778435.59</v>
          </cell>
          <cell r="BH217">
            <v>-694065.89</v>
          </cell>
          <cell r="BI217">
            <v>-788273.59</v>
          </cell>
          <cell r="BJ217">
            <v>-1477882.9</v>
          </cell>
          <cell r="BK217">
            <v>-1542808.49</v>
          </cell>
          <cell r="BL217">
            <v>-1776482.85</v>
          </cell>
          <cell r="BM217">
            <v>-587056.71</v>
          </cell>
          <cell r="BN217">
            <v>-588142.55000000005</v>
          </cell>
          <cell r="BO217">
            <v>-817319.55</v>
          </cell>
          <cell r="BP217">
            <v>-1106067.49</v>
          </cell>
          <cell r="BQ217">
            <v>-1564116.43</v>
          </cell>
          <cell r="BR217">
            <v>-1638946.29</v>
          </cell>
          <cell r="BS217">
            <v>-2115300.5699999998</v>
          </cell>
          <cell r="BT217">
            <v>-818799.74</v>
          </cell>
          <cell r="BU217">
            <v>-1011142.63</v>
          </cell>
          <cell r="BV217">
            <v>-1497233.57</v>
          </cell>
          <cell r="BW217">
            <v>-1703812.2</v>
          </cell>
          <cell r="BX217">
            <v>-2084839.57</v>
          </cell>
          <cell r="BY217">
            <v>-825320.39</v>
          </cell>
          <cell r="BZ217">
            <v>-842725.08</v>
          </cell>
          <cell r="CA217">
            <v>-1232648.2</v>
          </cell>
          <cell r="CB217">
            <v>-1513381.11</v>
          </cell>
          <cell r="CC217">
            <v>-1752525.59</v>
          </cell>
          <cell r="CD217">
            <v>-2091433.96</v>
          </cell>
          <cell r="CE217">
            <v>-851866.6</v>
          </cell>
          <cell r="CF217">
            <v>-1082781.69</v>
          </cell>
          <cell r="CG217">
            <v>-1439562.16</v>
          </cell>
          <cell r="CH217">
            <v>-1822236.99</v>
          </cell>
          <cell r="CI217">
            <v>-2019610.95</v>
          </cell>
          <cell r="CJ217">
            <v>-711453.5</v>
          </cell>
          <cell r="CK217">
            <v>-952988.75</v>
          </cell>
          <cell r="CL217">
            <v>-940885.43</v>
          </cell>
          <cell r="CM217">
            <v>-1708962.39</v>
          </cell>
          <cell r="CN217">
            <v>-1862467.4</v>
          </cell>
          <cell r="CO217">
            <v>-2051243.7</v>
          </cell>
          <cell r="CP217">
            <v>-2409935.7200000002</v>
          </cell>
          <cell r="CQ217">
            <v>-952731.76</v>
          </cell>
          <cell r="CR217">
            <v>-1315623.19</v>
          </cell>
          <cell r="CS217">
            <v>-1726164.74</v>
          </cell>
          <cell r="CT217">
            <v>-1923555.81</v>
          </cell>
          <cell r="CU217">
            <v>-2351602.5</v>
          </cell>
          <cell r="CV217">
            <v>-953795.11</v>
          </cell>
          <cell r="CW217">
            <v>-1219203.08</v>
          </cell>
          <cell r="CX217">
            <v>-1209944.8</v>
          </cell>
          <cell r="CY217">
            <v>-1806145.56</v>
          </cell>
          <cell r="CZ217">
            <v>-2031082.32</v>
          </cell>
          <cell r="DA217">
            <v>-2482749.73</v>
          </cell>
          <cell r="DB217">
            <v>-873985.01</v>
          </cell>
          <cell r="DC217">
            <v>-1108622.95</v>
          </cell>
          <cell r="DD217">
            <v>-1754540.85</v>
          </cell>
          <cell r="DE217">
            <v>-2237280.6</v>
          </cell>
          <cell r="DF217">
            <v>-2599981.6800000002</v>
          </cell>
          <cell r="DG217">
            <v>-2979655.57</v>
          </cell>
          <cell r="DH217">
            <v>-1166848.97</v>
          </cell>
        </row>
        <row r="218">
          <cell r="A218" t="str">
            <v>2320008</v>
          </cell>
          <cell r="B218" t="str">
            <v>2320008</v>
          </cell>
          <cell r="C218" t="str">
            <v>AP 401K Fixed Match</v>
          </cell>
          <cell r="D218">
            <v>720.56</v>
          </cell>
          <cell r="E218">
            <v>720.56</v>
          </cell>
          <cell r="F218">
            <v>705.15</v>
          </cell>
          <cell r="G218">
            <v>720.56</v>
          </cell>
          <cell r="H218">
            <v>720.56</v>
          </cell>
          <cell r="I218">
            <v>720.56</v>
          </cell>
          <cell r="J218">
            <v>720.56</v>
          </cell>
          <cell r="K218">
            <v>720.56</v>
          </cell>
          <cell r="L218">
            <v>623.05999999999995</v>
          </cell>
          <cell r="M218">
            <v>720.56</v>
          </cell>
          <cell r="N218">
            <v>720.56</v>
          </cell>
          <cell r="O218">
            <v>720.56</v>
          </cell>
          <cell r="P218">
            <v>-30656.02</v>
          </cell>
          <cell r="Q218">
            <v>-30656.02</v>
          </cell>
          <cell r="R218">
            <v>123.61</v>
          </cell>
          <cell r="S218">
            <v>720.56</v>
          </cell>
          <cell r="T218">
            <v>720.56</v>
          </cell>
          <cell r="U218">
            <v>720.56</v>
          </cell>
          <cell r="V218">
            <v>720.56</v>
          </cell>
          <cell r="W218">
            <v>707.29</v>
          </cell>
          <cell r="X218">
            <v>614.01</v>
          </cell>
          <cell r="Y218">
            <v>-1232.9000000000001</v>
          </cell>
          <cell r="Z218">
            <v>659.56</v>
          </cell>
          <cell r="AA218">
            <v>720.56</v>
          </cell>
          <cell r="AB218">
            <v>710.4</v>
          </cell>
          <cell r="AC218">
            <v>644.03</v>
          </cell>
          <cell r="AD218">
            <v>628.16</v>
          </cell>
          <cell r="AE218">
            <v>720.56</v>
          </cell>
          <cell r="AF218">
            <v>720.56</v>
          </cell>
          <cell r="AG218">
            <v>720.56</v>
          </cell>
          <cell r="AH218">
            <v>720.56</v>
          </cell>
          <cell r="AI218">
            <v>720.56</v>
          </cell>
          <cell r="AJ218">
            <v>720.56</v>
          </cell>
          <cell r="AK218">
            <v>720.56</v>
          </cell>
          <cell r="AL218">
            <v>720.56</v>
          </cell>
          <cell r="AM218">
            <v>720.56</v>
          </cell>
          <cell r="AN218">
            <v>720.56</v>
          </cell>
          <cell r="AO218">
            <v>-124.78</v>
          </cell>
          <cell r="AP218">
            <v>720.56</v>
          </cell>
          <cell r="AQ218">
            <v>720.56</v>
          </cell>
          <cell r="AR218">
            <v>720.56</v>
          </cell>
          <cell r="AS218">
            <v>720.56</v>
          </cell>
          <cell r="AT218">
            <v>720.56</v>
          </cell>
          <cell r="AU218">
            <v>720.56</v>
          </cell>
          <cell r="AV218">
            <v>720.56</v>
          </cell>
          <cell r="AW218">
            <v>720.56</v>
          </cell>
          <cell r="AX218">
            <v>720.56</v>
          </cell>
          <cell r="AY218">
            <v>0</v>
          </cell>
          <cell r="AZ218">
            <v>0</v>
          </cell>
          <cell r="BA218">
            <v>0</v>
          </cell>
          <cell r="BB218">
            <v>0</v>
          </cell>
          <cell r="BC218">
            <v>256.41000000000003</v>
          </cell>
          <cell r="BD218">
            <v>-584.85</v>
          </cell>
          <cell r="BE218">
            <v>0</v>
          </cell>
          <cell r="BF218">
            <v>0</v>
          </cell>
          <cell r="BG218">
            <v>0</v>
          </cell>
          <cell r="BH218">
            <v>0</v>
          </cell>
          <cell r="BI218">
            <v>0</v>
          </cell>
          <cell r="BJ218">
            <v>0</v>
          </cell>
          <cell r="BK218">
            <v>0</v>
          </cell>
          <cell r="BL218">
            <v>0</v>
          </cell>
          <cell r="BM218">
            <v>0</v>
          </cell>
          <cell r="BN218">
            <v>-14.4</v>
          </cell>
          <cell r="BO218">
            <v>-14.4</v>
          </cell>
          <cell r="BP218">
            <v>-14.4</v>
          </cell>
          <cell r="BQ218">
            <v>-14.4</v>
          </cell>
          <cell r="BR218">
            <v>-14.4</v>
          </cell>
          <cell r="BS218">
            <v>-14.4</v>
          </cell>
          <cell r="BT218">
            <v>-14.4</v>
          </cell>
          <cell r="BU218">
            <v>0</v>
          </cell>
          <cell r="BV218">
            <v>0</v>
          </cell>
          <cell r="BW218">
            <v>0</v>
          </cell>
          <cell r="BX218">
            <v>-147166</v>
          </cell>
          <cell r="BY218">
            <v>-147208.85</v>
          </cell>
          <cell r="BZ218">
            <v>0</v>
          </cell>
          <cell r="CA218">
            <v>0</v>
          </cell>
          <cell r="CB218">
            <v>0</v>
          </cell>
          <cell r="CC218">
            <v>-125.81</v>
          </cell>
          <cell r="CD218">
            <v>-83.72</v>
          </cell>
          <cell r="CE218">
            <v>0</v>
          </cell>
          <cell r="CF218">
            <v>0</v>
          </cell>
          <cell r="CG218">
            <v>0</v>
          </cell>
          <cell r="CH218">
            <v>0</v>
          </cell>
          <cell r="CI218">
            <v>0</v>
          </cell>
          <cell r="CJ218">
            <v>0</v>
          </cell>
          <cell r="CK218">
            <v>-78.08</v>
          </cell>
          <cell r="CL218">
            <v>-78.08</v>
          </cell>
          <cell r="CM218">
            <v>-9278.35</v>
          </cell>
          <cell r="CN218">
            <v>-9278.35</v>
          </cell>
          <cell r="CO218">
            <v>-9319.44</v>
          </cell>
          <cell r="CP218">
            <v>-9278.35</v>
          </cell>
          <cell r="CQ218">
            <v>-9278.35</v>
          </cell>
          <cell r="CR218">
            <v>-9513.91</v>
          </cell>
          <cell r="CS218">
            <v>-147.1</v>
          </cell>
          <cell r="CT218">
            <v>-124382.92</v>
          </cell>
          <cell r="CU218">
            <v>-136794.53</v>
          </cell>
          <cell r="CV218">
            <v>-195415.35</v>
          </cell>
          <cell r="CW218">
            <v>-255911.9</v>
          </cell>
          <cell r="CX218">
            <v>-316277.34999999998</v>
          </cell>
          <cell r="CY218">
            <v>-121382.3</v>
          </cell>
          <cell r="CZ218">
            <v>-121453.3</v>
          </cell>
          <cell r="DA218">
            <v>-121416.22</v>
          </cell>
          <cell r="DB218">
            <v>-121638.99</v>
          </cell>
          <cell r="DC218">
            <v>-121633.63</v>
          </cell>
          <cell r="DD218">
            <v>-121726.55</v>
          </cell>
          <cell r="DE218">
            <v>-121633.63</v>
          </cell>
          <cell r="DF218">
            <v>-131732.35</v>
          </cell>
          <cell r="DG218">
            <v>-141691.09</v>
          </cell>
          <cell r="DH218">
            <v>-152703.07</v>
          </cell>
        </row>
        <row r="219">
          <cell r="A219" t="str">
            <v>2320009</v>
          </cell>
          <cell r="B219" t="str">
            <v>2320009</v>
          </cell>
          <cell r="C219" t="str">
            <v>AP 401K Perf Match</v>
          </cell>
          <cell r="D219">
            <v>-280000</v>
          </cell>
          <cell r="E219">
            <v>-280000</v>
          </cell>
          <cell r="F219">
            <v>0</v>
          </cell>
          <cell r="G219">
            <v>0</v>
          </cell>
          <cell r="H219">
            <v>0</v>
          </cell>
          <cell r="I219">
            <v>0</v>
          </cell>
          <cell r="J219">
            <v>0</v>
          </cell>
          <cell r="K219">
            <v>0</v>
          </cell>
          <cell r="L219">
            <v>0</v>
          </cell>
          <cell r="M219">
            <v>-152000</v>
          </cell>
          <cell r="N219">
            <v>-152000</v>
          </cell>
          <cell r="O219">
            <v>-152000</v>
          </cell>
          <cell r="P219">
            <v>-322000</v>
          </cell>
          <cell r="Q219">
            <v>-322000</v>
          </cell>
          <cell r="R219">
            <v>0</v>
          </cell>
          <cell r="S219">
            <v>-170996.87</v>
          </cell>
          <cell r="T219">
            <v>-213000</v>
          </cell>
          <cell r="U219">
            <v>-184000</v>
          </cell>
          <cell r="V219">
            <v>-214000</v>
          </cell>
          <cell r="W219">
            <v>-190000</v>
          </cell>
          <cell r="X219">
            <v>-194000</v>
          </cell>
          <cell r="Y219">
            <v>-142000</v>
          </cell>
          <cell r="Z219">
            <v>-135000</v>
          </cell>
          <cell r="AA219">
            <v>-219000</v>
          </cell>
          <cell r="AB219">
            <v>-58125</v>
          </cell>
          <cell r="AC219">
            <v>-58125</v>
          </cell>
          <cell r="AD219">
            <v>0</v>
          </cell>
          <cell r="AE219">
            <v>0</v>
          </cell>
          <cell r="AF219">
            <v>0</v>
          </cell>
          <cell r="AG219">
            <v>0</v>
          </cell>
          <cell r="AH219">
            <v>0</v>
          </cell>
          <cell r="AI219">
            <v>0</v>
          </cell>
          <cell r="AJ219">
            <v>0</v>
          </cell>
          <cell r="AK219">
            <v>-252000</v>
          </cell>
          <cell r="AL219">
            <v>-248000</v>
          </cell>
          <cell r="AM219">
            <v>-108000</v>
          </cell>
          <cell r="AN219">
            <v>-52000</v>
          </cell>
          <cell r="AO219">
            <v>-52000</v>
          </cell>
          <cell r="AP219">
            <v>19432.189999999999</v>
          </cell>
          <cell r="AQ219">
            <v>1904.09</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-783.24</v>
          </cell>
          <cell r="BF219">
            <v>-45</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-256702.48</v>
          </cell>
          <cell r="BY219">
            <v>-256702.48</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-5240.9399999999996</v>
          </cell>
          <cell r="CN219">
            <v>-3030.9</v>
          </cell>
          <cell r="CO219">
            <v>-3030.9</v>
          </cell>
          <cell r="CP219">
            <v>-3030.9</v>
          </cell>
          <cell r="CQ219">
            <v>-3030.9</v>
          </cell>
          <cell r="CR219">
            <v>-3030.9</v>
          </cell>
          <cell r="CS219">
            <v>0</v>
          </cell>
          <cell r="CT219">
            <v>-366666.67</v>
          </cell>
          <cell r="CU219">
            <v>-403333.34</v>
          </cell>
          <cell r="CV219">
            <v>-733333.01</v>
          </cell>
          <cell r="CW219">
            <v>-733333.01</v>
          </cell>
          <cell r="CX219">
            <v>-733333.01</v>
          </cell>
          <cell r="CY219">
            <v>-1440.82</v>
          </cell>
          <cell r="CZ219">
            <v>-1440.82</v>
          </cell>
          <cell r="DA219">
            <v>-1440.82</v>
          </cell>
          <cell r="DB219">
            <v>-1440.82</v>
          </cell>
          <cell r="DC219">
            <v>-1440.82</v>
          </cell>
          <cell r="DD219">
            <v>-1440.82</v>
          </cell>
          <cell r="DE219">
            <v>-1440.82</v>
          </cell>
          <cell r="DF219">
            <v>-1440.82</v>
          </cell>
          <cell r="DG219">
            <v>-1440.82</v>
          </cell>
          <cell r="DH219">
            <v>-200955.82</v>
          </cell>
        </row>
        <row r="220">
          <cell r="A220" t="str">
            <v>2320010</v>
          </cell>
          <cell r="B220" t="str">
            <v>2320010</v>
          </cell>
          <cell r="C220" t="str">
            <v>AP 401K Emp Contrib</v>
          </cell>
          <cell r="D220">
            <v>224.02</v>
          </cell>
          <cell r="E220">
            <v>224.02</v>
          </cell>
          <cell r="F220">
            <v>200.31</v>
          </cell>
          <cell r="G220">
            <v>224.02</v>
          </cell>
          <cell r="H220">
            <v>224.02</v>
          </cell>
          <cell r="I220">
            <v>224.02</v>
          </cell>
          <cell r="J220">
            <v>224.02</v>
          </cell>
          <cell r="K220">
            <v>224.02</v>
          </cell>
          <cell r="L220">
            <v>74.02</v>
          </cell>
          <cell r="M220">
            <v>224.02</v>
          </cell>
          <cell r="N220">
            <v>224.02</v>
          </cell>
          <cell r="O220">
            <v>224.02</v>
          </cell>
          <cell r="P220">
            <v>224.02</v>
          </cell>
          <cell r="Q220">
            <v>224.02</v>
          </cell>
          <cell r="R220">
            <v>-985.65</v>
          </cell>
          <cell r="S220">
            <v>224.02</v>
          </cell>
          <cell r="T220">
            <v>224.02</v>
          </cell>
          <cell r="U220">
            <v>224.02</v>
          </cell>
          <cell r="V220">
            <v>224.02</v>
          </cell>
          <cell r="W220">
            <v>205.07</v>
          </cell>
          <cell r="X220">
            <v>71.8</v>
          </cell>
          <cell r="Y220">
            <v>-2906.03</v>
          </cell>
          <cell r="Z220">
            <v>136.87</v>
          </cell>
          <cell r="AA220">
            <v>224.02</v>
          </cell>
          <cell r="AB220">
            <v>199.82</v>
          </cell>
          <cell r="AC220">
            <v>114.69</v>
          </cell>
          <cell r="AD220">
            <v>-105.98</v>
          </cell>
          <cell r="AE220">
            <v>224.02</v>
          </cell>
          <cell r="AF220">
            <v>224.02</v>
          </cell>
          <cell r="AG220">
            <v>224.02</v>
          </cell>
          <cell r="AH220">
            <v>224.02</v>
          </cell>
          <cell r="AI220">
            <v>224.02</v>
          </cell>
          <cell r="AJ220">
            <v>224.02</v>
          </cell>
          <cell r="AK220">
            <v>224.02</v>
          </cell>
          <cell r="AL220">
            <v>224.02</v>
          </cell>
          <cell r="AM220">
            <v>224.02</v>
          </cell>
          <cell r="AN220">
            <v>224.02</v>
          </cell>
          <cell r="AO220">
            <v>-1422.12</v>
          </cell>
          <cell r="AP220">
            <v>224.02</v>
          </cell>
          <cell r="AQ220">
            <v>224.02</v>
          </cell>
          <cell r="AR220">
            <v>224.02</v>
          </cell>
          <cell r="AS220">
            <v>224.02</v>
          </cell>
          <cell r="AT220">
            <v>224.02</v>
          </cell>
          <cell r="AU220">
            <v>224.02</v>
          </cell>
          <cell r="AV220">
            <v>224.02</v>
          </cell>
          <cell r="AW220">
            <v>224.02</v>
          </cell>
          <cell r="AX220">
            <v>224.02</v>
          </cell>
          <cell r="AY220">
            <v>224.02</v>
          </cell>
          <cell r="AZ220">
            <v>224.02</v>
          </cell>
          <cell r="BA220">
            <v>224.02</v>
          </cell>
          <cell r="BB220">
            <v>224.02</v>
          </cell>
          <cell r="BC220">
            <v>1363.64</v>
          </cell>
          <cell r="BD220">
            <v>-1583</v>
          </cell>
          <cell r="BE220">
            <v>224.02</v>
          </cell>
          <cell r="BF220">
            <v>224.02</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-57.13</v>
          </cell>
          <cell r="BZ220">
            <v>0</v>
          </cell>
          <cell r="CA220">
            <v>0</v>
          </cell>
          <cell r="CB220">
            <v>0</v>
          </cell>
          <cell r="CC220">
            <v>-167.74</v>
          </cell>
          <cell r="CD220">
            <v>-176.31</v>
          </cell>
          <cell r="CE220">
            <v>0</v>
          </cell>
          <cell r="CF220">
            <v>0</v>
          </cell>
          <cell r="CG220">
            <v>0</v>
          </cell>
          <cell r="CH220">
            <v>0</v>
          </cell>
          <cell r="CI220">
            <v>0</v>
          </cell>
          <cell r="CJ220">
            <v>0</v>
          </cell>
          <cell r="CK220">
            <v>104.9</v>
          </cell>
          <cell r="CL220">
            <v>104.9</v>
          </cell>
          <cell r="CM220">
            <v>-20399.55</v>
          </cell>
          <cell r="CN220">
            <v>-20399.55</v>
          </cell>
          <cell r="CO220">
            <v>-20454.34</v>
          </cell>
          <cell r="CP220">
            <v>-20399.55</v>
          </cell>
          <cell r="CQ220">
            <v>-20399.55</v>
          </cell>
          <cell r="CR220">
            <v>-20766.310000000001</v>
          </cell>
          <cell r="CS220">
            <v>-40.090000000000003</v>
          </cell>
          <cell r="CT220">
            <v>0</v>
          </cell>
          <cell r="CU220">
            <v>23.3</v>
          </cell>
          <cell r="CV220">
            <v>-423.38</v>
          </cell>
          <cell r="CW220">
            <v>-510.78</v>
          </cell>
          <cell r="CX220">
            <v>-423.38</v>
          </cell>
          <cell r="CY220">
            <v>-517.9</v>
          </cell>
          <cell r="CZ220">
            <v>-702.32</v>
          </cell>
          <cell r="DA220">
            <v>-542.82000000000005</v>
          </cell>
          <cell r="DB220">
            <v>-753.68</v>
          </cell>
          <cell r="DC220">
            <v>-741.76</v>
          </cell>
          <cell r="DD220">
            <v>-865.65</v>
          </cell>
          <cell r="DE220">
            <v>-741.76</v>
          </cell>
          <cell r="DF220">
            <v>-905.53</v>
          </cell>
          <cell r="DG220">
            <v>-850.51</v>
          </cell>
          <cell r="DH220">
            <v>3695.51</v>
          </cell>
        </row>
        <row r="221">
          <cell r="A221" t="str">
            <v>2320011</v>
          </cell>
          <cell r="B221" t="str">
            <v>2320011</v>
          </cell>
          <cell r="C221" t="str">
            <v>AP DRIP</v>
          </cell>
          <cell r="D221">
            <v>2427</v>
          </cell>
          <cell r="E221">
            <v>20</v>
          </cell>
          <cell r="F221">
            <v>20</v>
          </cell>
          <cell r="G221">
            <v>20</v>
          </cell>
          <cell r="H221">
            <v>20</v>
          </cell>
          <cell r="I221">
            <v>7.5</v>
          </cell>
          <cell r="J221">
            <v>170</v>
          </cell>
          <cell r="K221">
            <v>170</v>
          </cell>
          <cell r="L221">
            <v>170</v>
          </cell>
          <cell r="M221">
            <v>170</v>
          </cell>
          <cell r="N221">
            <v>170</v>
          </cell>
          <cell r="O221">
            <v>170</v>
          </cell>
          <cell r="P221">
            <v>195</v>
          </cell>
          <cell r="Q221">
            <v>100</v>
          </cell>
          <cell r="R221">
            <v>10</v>
          </cell>
          <cell r="S221">
            <v>10</v>
          </cell>
          <cell r="T221">
            <v>10</v>
          </cell>
          <cell r="U221">
            <v>10</v>
          </cell>
          <cell r="V221">
            <v>10</v>
          </cell>
          <cell r="W221">
            <v>22.5</v>
          </cell>
          <cell r="X221">
            <v>25</v>
          </cell>
          <cell r="Y221">
            <v>50</v>
          </cell>
          <cell r="Z221">
            <v>112.5</v>
          </cell>
          <cell r="AA221">
            <v>145</v>
          </cell>
          <cell r="AB221">
            <v>165</v>
          </cell>
          <cell r="AC221">
            <v>145</v>
          </cell>
          <cell r="AD221">
            <v>45</v>
          </cell>
          <cell r="AE221">
            <v>695</v>
          </cell>
          <cell r="AF221">
            <v>680</v>
          </cell>
          <cell r="AG221">
            <v>2427</v>
          </cell>
          <cell r="AH221">
            <v>2427</v>
          </cell>
          <cell r="AI221">
            <v>2427</v>
          </cell>
          <cell r="AJ221">
            <v>2427</v>
          </cell>
          <cell r="AK221">
            <v>2427</v>
          </cell>
          <cell r="AL221">
            <v>2427</v>
          </cell>
          <cell r="AM221">
            <v>2427</v>
          </cell>
          <cell r="AN221">
            <v>2427</v>
          </cell>
          <cell r="AO221">
            <v>2427</v>
          </cell>
          <cell r="AP221">
            <v>2427</v>
          </cell>
          <cell r="AQ221">
            <v>2427</v>
          </cell>
          <cell r="AR221">
            <v>2427</v>
          </cell>
          <cell r="AS221">
            <v>2427</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35360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12.5</v>
          </cell>
          <cell r="DC221">
            <v>12.5</v>
          </cell>
          <cell r="DD221">
            <v>706.95</v>
          </cell>
          <cell r="DE221">
            <v>706.95</v>
          </cell>
          <cell r="DF221">
            <v>706.95</v>
          </cell>
          <cell r="DG221">
            <v>706.95</v>
          </cell>
          <cell r="DH221">
            <v>706.95</v>
          </cell>
        </row>
        <row r="222">
          <cell r="A222" t="str">
            <v>2320012</v>
          </cell>
          <cell r="B222" t="str">
            <v>2320012</v>
          </cell>
          <cell r="C222" t="str">
            <v>AP PSP / Incentive</v>
          </cell>
          <cell r="D222">
            <v>-3168464</v>
          </cell>
          <cell r="E222">
            <v>-208317.12</v>
          </cell>
          <cell r="F222">
            <v>-341892</v>
          </cell>
          <cell r="G222">
            <v>-512838</v>
          </cell>
          <cell r="H222">
            <v>-683784</v>
          </cell>
          <cell r="I222">
            <v>-854730</v>
          </cell>
          <cell r="J222">
            <v>-1025676</v>
          </cell>
          <cell r="K222">
            <v>-1196622</v>
          </cell>
          <cell r="L222">
            <v>-1367568</v>
          </cell>
          <cell r="M222">
            <v>-2309514</v>
          </cell>
          <cell r="N222">
            <v>-2480460</v>
          </cell>
          <cell r="O222">
            <v>-2651406</v>
          </cell>
          <cell r="P222">
            <v>-3076048.44</v>
          </cell>
          <cell r="Q222">
            <v>-3248375.59</v>
          </cell>
          <cell r="R222">
            <v>-344654.3</v>
          </cell>
          <cell r="S222">
            <v>-1269981.45</v>
          </cell>
          <cell r="T222">
            <v>-1627308.6</v>
          </cell>
          <cell r="U222">
            <v>-1673635.75</v>
          </cell>
          <cell r="V222">
            <v>-1978962.9</v>
          </cell>
          <cell r="W222">
            <v>-2042290.05</v>
          </cell>
          <cell r="X222">
            <v>-2235617.2000000002</v>
          </cell>
          <cell r="Y222">
            <v>-2196603.5</v>
          </cell>
          <cell r="Z222">
            <v>-2335930.65</v>
          </cell>
          <cell r="AA222">
            <v>-2884257.8</v>
          </cell>
          <cell r="AB222">
            <v>-2099616</v>
          </cell>
          <cell r="AC222">
            <v>-2268782.67</v>
          </cell>
          <cell r="AD222">
            <v>-338333.34</v>
          </cell>
          <cell r="AE222">
            <v>-507500.01</v>
          </cell>
          <cell r="AF222">
            <v>-676666.68</v>
          </cell>
          <cell r="AG222">
            <v>-845833.35</v>
          </cell>
          <cell r="AH222">
            <v>-1015000.02</v>
          </cell>
          <cell r="AI222">
            <v>-1444166.69</v>
          </cell>
          <cell r="AJ222">
            <v>-2437333.36</v>
          </cell>
          <cell r="AK222">
            <v>-2645500.0299999998</v>
          </cell>
          <cell r="AL222">
            <v>-2794666.7</v>
          </cell>
          <cell r="AM222">
            <v>-2341833.37</v>
          </cell>
          <cell r="AN222">
            <v>-2518000.04</v>
          </cell>
          <cell r="AO222">
            <v>-2703416.71</v>
          </cell>
          <cell r="AP222">
            <v>-266307.89</v>
          </cell>
          <cell r="AQ222">
            <v>-556250.01</v>
          </cell>
          <cell r="AR222">
            <v>-741666.68</v>
          </cell>
          <cell r="AS222">
            <v>-927083.35</v>
          </cell>
          <cell r="AT222">
            <v>-1187500.02</v>
          </cell>
          <cell r="AU222">
            <v>-1385416.69</v>
          </cell>
          <cell r="AV222">
            <v>-1583333.36</v>
          </cell>
          <cell r="AW222">
            <v>-1781250.03</v>
          </cell>
          <cell r="AX222">
            <v>-1722069.03</v>
          </cell>
          <cell r="AY222">
            <v>-1894276.03</v>
          </cell>
          <cell r="AZ222">
            <v>-2291483.0299999998</v>
          </cell>
          <cell r="BA222">
            <v>-2526310.3999999999</v>
          </cell>
          <cell r="BB222">
            <v>-469654.74</v>
          </cell>
          <cell r="BC222">
            <v>-704482.11</v>
          </cell>
          <cell r="BD222">
            <v>-939309.48</v>
          </cell>
          <cell r="BE222">
            <v>-1168438.77</v>
          </cell>
          <cell r="BF222">
            <v>-1408964.22</v>
          </cell>
          <cell r="BG222">
            <v>-1766319.38</v>
          </cell>
          <cell r="BH222">
            <v>-2418650.7200000002</v>
          </cell>
          <cell r="BI222">
            <v>-2776068.76</v>
          </cell>
          <cell r="BJ222">
            <v>-3084520.86</v>
          </cell>
          <cell r="BK222">
            <v>-3392972.96</v>
          </cell>
          <cell r="BL222">
            <v>-3779472</v>
          </cell>
          <cell r="BM222">
            <v>-4103473.25</v>
          </cell>
          <cell r="BN222">
            <v>-648002.5</v>
          </cell>
          <cell r="BO222">
            <v>-972033.75</v>
          </cell>
          <cell r="BP222">
            <v>-1296035</v>
          </cell>
          <cell r="BQ222">
            <v>-1620036.25</v>
          </cell>
          <cell r="BR222">
            <v>-1944037.5</v>
          </cell>
          <cell r="BS222">
            <v>-2268038.75</v>
          </cell>
          <cell r="BT222">
            <v>-2592040</v>
          </cell>
          <cell r="BU222">
            <v>-3043991.25</v>
          </cell>
          <cell r="BV222">
            <v>-3382209.17</v>
          </cell>
          <cell r="BW222">
            <v>-4470427.09</v>
          </cell>
          <cell r="BX222">
            <v>-4897075.1900000004</v>
          </cell>
          <cell r="BY222">
            <v>-5275251.1900000004</v>
          </cell>
          <cell r="BZ222">
            <v>-743427.8</v>
          </cell>
          <cell r="CA222">
            <v>-1096157.06</v>
          </cell>
          <cell r="CB222">
            <v>-1455789.01</v>
          </cell>
          <cell r="CC222">
            <v>-1815420.96</v>
          </cell>
          <cell r="CD222">
            <v>-2022869.17</v>
          </cell>
          <cell r="CE222">
            <v>-2357137.17</v>
          </cell>
          <cell r="CF222">
            <v>-2691405.17</v>
          </cell>
          <cell r="CG222">
            <v>-3319307.5</v>
          </cell>
          <cell r="CH222">
            <v>-3686201.5</v>
          </cell>
          <cell r="CI222">
            <v>-4053095.5</v>
          </cell>
          <cell r="CJ222">
            <v>-4620834.5</v>
          </cell>
          <cell r="CK222">
            <v>-4995672.5</v>
          </cell>
          <cell r="CL222">
            <v>-5370510.5</v>
          </cell>
          <cell r="CM222">
            <v>-1124514</v>
          </cell>
          <cell r="CN222">
            <v>-1361880</v>
          </cell>
          <cell r="CO222">
            <v>-1702350.17</v>
          </cell>
          <cell r="CP222">
            <v>-2042820.34</v>
          </cell>
          <cell r="CQ222">
            <v>-2383290.5099999998</v>
          </cell>
          <cell r="CR222">
            <v>-2723760.68</v>
          </cell>
          <cell r="CS222">
            <v>-3064230.85</v>
          </cell>
          <cell r="CT222">
            <v>-4142196.37</v>
          </cell>
          <cell r="CU222">
            <v>-4556416.01</v>
          </cell>
          <cell r="CV222">
            <v>-6213252.9299999997</v>
          </cell>
          <cell r="CW222">
            <v>-6709669.5999999996</v>
          </cell>
          <cell r="CX222">
            <v>-7206086.2699999996</v>
          </cell>
          <cell r="CY222">
            <v>-1489250.01</v>
          </cell>
          <cell r="CZ222">
            <v>-1985666.68</v>
          </cell>
          <cell r="DA222">
            <v>-2482083.35</v>
          </cell>
          <cell r="DB222">
            <v>-2976708.29</v>
          </cell>
          <cell r="DC222">
            <v>-3473124.96</v>
          </cell>
          <cell r="DD222">
            <v>-4012041.63</v>
          </cell>
          <cell r="DE222">
            <v>-4529708.3</v>
          </cell>
          <cell r="DF222">
            <v>-5047374.97</v>
          </cell>
          <cell r="DG222">
            <v>-6217062.9699999997</v>
          </cell>
          <cell r="DH222">
            <v>-7203447.9699999997</v>
          </cell>
        </row>
        <row r="223">
          <cell r="A223" t="str">
            <v>2320013</v>
          </cell>
          <cell r="B223" t="str">
            <v>2320013</v>
          </cell>
          <cell r="C223" t="str">
            <v>AP Garnishments</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-386.49</v>
          </cell>
          <cell r="X223">
            <v>0</v>
          </cell>
          <cell r="Y223">
            <v>0</v>
          </cell>
          <cell r="Z223">
            <v>0</v>
          </cell>
          <cell r="AA223">
            <v>0</v>
          </cell>
          <cell r="AB223">
            <v>0</v>
          </cell>
          <cell r="AC223">
            <v>0</v>
          </cell>
          <cell r="AD223">
            <v>-210.35</v>
          </cell>
          <cell r="AE223">
            <v>-210.35</v>
          </cell>
          <cell r="AF223">
            <v>-210.35</v>
          </cell>
          <cell r="AG223">
            <v>-210.35</v>
          </cell>
          <cell r="AH223">
            <v>-210.35</v>
          </cell>
          <cell r="AI223">
            <v>-210.35</v>
          </cell>
          <cell r="AJ223">
            <v>1354.89</v>
          </cell>
          <cell r="AK223">
            <v>-210.35</v>
          </cell>
          <cell r="AL223">
            <v>-210.35</v>
          </cell>
          <cell r="AM223">
            <v>-210.35</v>
          </cell>
          <cell r="AN223">
            <v>-210.35</v>
          </cell>
          <cell r="AO223">
            <v>-210.35</v>
          </cell>
          <cell r="AP223">
            <v>-210.35</v>
          </cell>
          <cell r="AQ223">
            <v>-210.35</v>
          </cell>
          <cell r="AR223">
            <v>-210.35</v>
          </cell>
          <cell r="AS223">
            <v>-210.35</v>
          </cell>
          <cell r="AT223">
            <v>-210.35</v>
          </cell>
          <cell r="AU223">
            <v>0</v>
          </cell>
          <cell r="AV223">
            <v>0</v>
          </cell>
          <cell r="AW223">
            <v>0</v>
          </cell>
          <cell r="AX223">
            <v>0</v>
          </cell>
          <cell r="AY223">
            <v>0</v>
          </cell>
          <cell r="AZ223">
            <v>0</v>
          </cell>
          <cell r="BA223">
            <v>0</v>
          </cell>
          <cell r="BB223">
            <v>0</v>
          </cell>
          <cell r="BC223">
            <v>-342.66</v>
          </cell>
          <cell r="BD223">
            <v>-1033.71</v>
          </cell>
          <cell r="BE223">
            <v>-2115.61</v>
          </cell>
          <cell r="BF223">
            <v>-1173.6500000000001</v>
          </cell>
          <cell r="BG223">
            <v>0</v>
          </cell>
          <cell r="BH223">
            <v>0</v>
          </cell>
          <cell r="BI223">
            <v>0</v>
          </cell>
          <cell r="BJ223">
            <v>0</v>
          </cell>
          <cell r="BK223">
            <v>0</v>
          </cell>
          <cell r="BL223">
            <v>0</v>
          </cell>
          <cell r="BM223">
            <v>0</v>
          </cell>
          <cell r="BN223">
            <v>0</v>
          </cell>
          <cell r="BO223">
            <v>0</v>
          </cell>
          <cell r="BP223">
            <v>-1106.4100000000001</v>
          </cell>
          <cell r="BQ223">
            <v>-2062.5500000000002</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-735.23</v>
          </cell>
          <cell r="DD223">
            <v>0</v>
          </cell>
          <cell r="DE223">
            <v>0</v>
          </cell>
          <cell r="DF223">
            <v>0</v>
          </cell>
          <cell r="DG223">
            <v>0</v>
          </cell>
          <cell r="DH223">
            <v>0</v>
          </cell>
        </row>
        <row r="224">
          <cell r="A224" t="str">
            <v>2320014</v>
          </cell>
          <cell r="B224" t="str">
            <v>2320014</v>
          </cell>
          <cell r="C224" t="str">
            <v>AP TEEBA</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-63</v>
          </cell>
          <cell r="BT224">
            <v>0</v>
          </cell>
          <cell r="BU224">
            <v>0</v>
          </cell>
          <cell r="BV224">
            <v>0</v>
          </cell>
          <cell r="BW224">
            <v>-63</v>
          </cell>
          <cell r="BX224">
            <v>0</v>
          </cell>
          <cell r="BY224">
            <v>0</v>
          </cell>
          <cell r="BZ224">
            <v>0</v>
          </cell>
          <cell r="CA224">
            <v>0</v>
          </cell>
          <cell r="CB224">
            <v>0</v>
          </cell>
          <cell r="CC224">
            <v>-31.5</v>
          </cell>
          <cell r="CD224">
            <v>-31.5</v>
          </cell>
          <cell r="CE224">
            <v>-31.5</v>
          </cell>
          <cell r="CF224">
            <v>-31.5</v>
          </cell>
          <cell r="CG224">
            <v>-31.5</v>
          </cell>
          <cell r="CH224">
            <v>-31.5</v>
          </cell>
          <cell r="CI224">
            <v>-31.5</v>
          </cell>
          <cell r="CJ224">
            <v>-31.5</v>
          </cell>
          <cell r="CK224">
            <v>-31.5</v>
          </cell>
          <cell r="CL224">
            <v>-31.5</v>
          </cell>
          <cell r="CM224">
            <v>0</v>
          </cell>
          <cell r="CN224">
            <v>-31.5</v>
          </cell>
          <cell r="CO224">
            <v>-31.5</v>
          </cell>
          <cell r="CP224">
            <v>0</v>
          </cell>
          <cell r="CQ224">
            <v>-31.5</v>
          </cell>
          <cell r="CR224">
            <v>-31.5</v>
          </cell>
          <cell r="CS224">
            <v>-31.5</v>
          </cell>
          <cell r="CT224">
            <v>-31.5</v>
          </cell>
          <cell r="CU224">
            <v>0</v>
          </cell>
          <cell r="CV224">
            <v>-31.5</v>
          </cell>
          <cell r="CW224">
            <v>-31.5</v>
          </cell>
          <cell r="CX224">
            <v>-31.5</v>
          </cell>
          <cell r="CY224">
            <v>-31.5</v>
          </cell>
          <cell r="CZ224">
            <v>-31.5</v>
          </cell>
          <cell r="DA224">
            <v>-31.5</v>
          </cell>
          <cell r="DB224">
            <v>-39.369999999999997</v>
          </cell>
          <cell r="DC224">
            <v>-47.25</v>
          </cell>
          <cell r="DD224">
            <v>0</v>
          </cell>
          <cell r="DE224">
            <v>0</v>
          </cell>
          <cell r="DF224">
            <v>-47.25</v>
          </cell>
          <cell r="DG224">
            <v>-37.5</v>
          </cell>
          <cell r="DH224">
            <v>-27.75</v>
          </cell>
        </row>
        <row r="225">
          <cell r="A225" t="str">
            <v>2320015</v>
          </cell>
          <cell r="B225" t="str">
            <v>2320015</v>
          </cell>
          <cell r="C225" t="str">
            <v>AP Group Life Insur</v>
          </cell>
          <cell r="D225">
            <v>28.58</v>
          </cell>
          <cell r="E225">
            <v>17.68</v>
          </cell>
          <cell r="F225">
            <v>6.77</v>
          </cell>
          <cell r="G225">
            <v>-6.35</v>
          </cell>
          <cell r="H225">
            <v>-3.31</v>
          </cell>
          <cell r="I225">
            <v>-14.24</v>
          </cell>
          <cell r="J225">
            <v>-19.670000000000002</v>
          </cell>
          <cell r="K225">
            <v>-24.64</v>
          </cell>
          <cell r="L225">
            <v>-43.3</v>
          </cell>
          <cell r="M225">
            <v>-59.88</v>
          </cell>
          <cell r="N225">
            <v>152.77000000000001</v>
          </cell>
          <cell r="O225">
            <v>16.96</v>
          </cell>
          <cell r="P225">
            <v>0</v>
          </cell>
          <cell r="Q225">
            <v>-20.010000000000002</v>
          </cell>
          <cell r="R225">
            <v>-56.53</v>
          </cell>
          <cell r="S225">
            <v>-93.06</v>
          </cell>
          <cell r="T225">
            <v>-135.6</v>
          </cell>
          <cell r="U225">
            <v>-197.95</v>
          </cell>
          <cell r="V225">
            <v>-237.24</v>
          </cell>
          <cell r="W225">
            <v>-259.58</v>
          </cell>
          <cell r="X225">
            <v>-375.56</v>
          </cell>
          <cell r="Y225">
            <v>-622.33000000000004</v>
          </cell>
          <cell r="Z225">
            <v>-14073.63</v>
          </cell>
          <cell r="AA225">
            <v>-760.3</v>
          </cell>
          <cell r="AB225">
            <v>-806.03</v>
          </cell>
          <cell r="AC225">
            <v>-849.81</v>
          </cell>
          <cell r="AD225">
            <v>-854.22</v>
          </cell>
          <cell r="AE225">
            <v>-915.33</v>
          </cell>
          <cell r="AF225">
            <v>-1007.9</v>
          </cell>
          <cell r="AG225">
            <v>-973.87</v>
          </cell>
          <cell r="AH225">
            <v>-1045.4100000000001</v>
          </cell>
          <cell r="AI225">
            <v>-1083.99</v>
          </cell>
          <cell r="AJ225">
            <v>-1122.57</v>
          </cell>
          <cell r="AK225">
            <v>-1155.25</v>
          </cell>
          <cell r="AL225">
            <v>-1216.6199999999999</v>
          </cell>
          <cell r="AM225">
            <v>-1339.04</v>
          </cell>
          <cell r="AN225">
            <v>-1377.59</v>
          </cell>
          <cell r="AO225">
            <v>-1417.8</v>
          </cell>
          <cell r="AP225">
            <v>-1462.9</v>
          </cell>
          <cell r="AQ225">
            <v>-1525.95</v>
          </cell>
          <cell r="AR225">
            <v>-1551.41</v>
          </cell>
          <cell r="AS225">
            <v>-1601.13</v>
          </cell>
          <cell r="AT225">
            <v>-1660.5</v>
          </cell>
          <cell r="AU225">
            <v>-1721.09</v>
          </cell>
          <cell r="AV225">
            <v>-1701.82</v>
          </cell>
          <cell r="AW225">
            <v>-1745.87</v>
          </cell>
          <cell r="AX225">
            <v>-1791.02</v>
          </cell>
          <cell r="AY225">
            <v>-1835.06</v>
          </cell>
          <cell r="AZ225">
            <v>-1874.06</v>
          </cell>
          <cell r="BA225">
            <v>-1935.24</v>
          </cell>
          <cell r="BB225">
            <v>-1997.66</v>
          </cell>
          <cell r="BC225">
            <v>-2115.19</v>
          </cell>
          <cell r="BD225">
            <v>-2132.1799999999998</v>
          </cell>
          <cell r="BE225">
            <v>-2180.4499999999998</v>
          </cell>
          <cell r="BF225">
            <v>-2095.5500000000002</v>
          </cell>
          <cell r="BG225">
            <v>-2227.87</v>
          </cell>
          <cell r="BH225">
            <v>-2350.52</v>
          </cell>
          <cell r="BI225">
            <v>-2478.9699999999998</v>
          </cell>
          <cell r="BJ225">
            <v>-2509.46</v>
          </cell>
          <cell r="BK225">
            <v>-2482.2399999999998</v>
          </cell>
          <cell r="BL225">
            <v>-65.25</v>
          </cell>
          <cell r="BM225">
            <v>-15357.31</v>
          </cell>
          <cell r="BN225">
            <v>-15424.89</v>
          </cell>
          <cell r="BO225">
            <v>-14891.34</v>
          </cell>
          <cell r="BP225">
            <v>-14943.49</v>
          </cell>
          <cell r="BQ225">
            <v>-14927.12</v>
          </cell>
          <cell r="BR225">
            <v>-14972.53</v>
          </cell>
          <cell r="BS225">
            <v>-14768.6</v>
          </cell>
          <cell r="BT225">
            <v>-14820.78</v>
          </cell>
          <cell r="BU225">
            <v>-14844.12</v>
          </cell>
          <cell r="BV225">
            <v>-29292.59</v>
          </cell>
          <cell r="BW225">
            <v>-14964.21</v>
          </cell>
          <cell r="BX225">
            <v>478.45</v>
          </cell>
          <cell r="BY225">
            <v>-14776.58</v>
          </cell>
          <cell r="BZ225">
            <v>329.9</v>
          </cell>
          <cell r="CA225">
            <v>0</v>
          </cell>
          <cell r="CB225">
            <v>-15426.59</v>
          </cell>
          <cell r="CC225">
            <v>-73</v>
          </cell>
          <cell r="CD225">
            <v>0</v>
          </cell>
          <cell r="CE225">
            <v>-69.16</v>
          </cell>
          <cell r="CF225">
            <v>-124.77</v>
          </cell>
          <cell r="CG225">
            <v>0</v>
          </cell>
          <cell r="CH225">
            <v>-40.46</v>
          </cell>
          <cell r="CI225">
            <v>-106.81</v>
          </cell>
          <cell r="CJ225">
            <v>0</v>
          </cell>
          <cell r="CK225">
            <v>-6.18</v>
          </cell>
          <cell r="CL225">
            <v>-41.48</v>
          </cell>
          <cell r="CM225">
            <v>0</v>
          </cell>
          <cell r="CN225">
            <v>26.68</v>
          </cell>
          <cell r="CO225">
            <v>51.16</v>
          </cell>
          <cell r="CP225">
            <v>71.23</v>
          </cell>
          <cell r="CQ225">
            <v>97.9</v>
          </cell>
          <cell r="CR225">
            <v>170.8</v>
          </cell>
          <cell r="CS225">
            <v>65.03</v>
          </cell>
          <cell r="CT225">
            <v>-14389.96</v>
          </cell>
          <cell r="CU225">
            <v>-14269.9</v>
          </cell>
          <cell r="CV225">
            <v>434.73</v>
          </cell>
          <cell r="CW225">
            <v>-17565.66</v>
          </cell>
          <cell r="CX225">
            <v>-34995.379999999997</v>
          </cell>
          <cell r="CY225">
            <v>-52774.8</v>
          </cell>
          <cell r="CZ225">
            <v>-70382.92</v>
          </cell>
          <cell r="DA225">
            <v>-17364.259999999998</v>
          </cell>
          <cell r="DB225">
            <v>-17333.740000000002</v>
          </cell>
          <cell r="DC225">
            <v>477.52</v>
          </cell>
          <cell r="DD225">
            <v>627.21</v>
          </cell>
          <cell r="DE225">
            <v>-17226.11</v>
          </cell>
          <cell r="DF225">
            <v>-35185.01</v>
          </cell>
          <cell r="DG225">
            <v>-17279.62</v>
          </cell>
          <cell r="DH225">
            <v>-17234.8</v>
          </cell>
        </row>
        <row r="226">
          <cell r="A226" t="str">
            <v>2320016</v>
          </cell>
          <cell r="B226" t="str">
            <v>2320016</v>
          </cell>
          <cell r="C226" t="str">
            <v>AP LT Care Insurance</v>
          </cell>
          <cell r="D226">
            <v>13.2</v>
          </cell>
          <cell r="E226">
            <v>26.4</v>
          </cell>
          <cell r="F226">
            <v>39.6</v>
          </cell>
          <cell r="G226">
            <v>39.6</v>
          </cell>
          <cell r="H226">
            <v>39.6</v>
          </cell>
          <cell r="I226">
            <v>-586</v>
          </cell>
          <cell r="J226">
            <v>39.6</v>
          </cell>
          <cell r="K226">
            <v>39.6</v>
          </cell>
          <cell r="L226">
            <v>39.6</v>
          </cell>
          <cell r="M226">
            <v>39.6</v>
          </cell>
          <cell r="N226">
            <v>39.6</v>
          </cell>
          <cell r="O226">
            <v>-586</v>
          </cell>
          <cell r="P226">
            <v>0</v>
          </cell>
          <cell r="Q226">
            <v>36.4</v>
          </cell>
          <cell r="R226">
            <v>112.4</v>
          </cell>
          <cell r="S226">
            <v>112.4</v>
          </cell>
          <cell r="T226">
            <v>112.4</v>
          </cell>
          <cell r="U226">
            <v>124.4</v>
          </cell>
          <cell r="V226">
            <v>136.4</v>
          </cell>
          <cell r="W226">
            <v>-385.4</v>
          </cell>
          <cell r="X226">
            <v>112.4</v>
          </cell>
          <cell r="Y226">
            <v>128</v>
          </cell>
          <cell r="Z226">
            <v>128</v>
          </cell>
          <cell r="AA226">
            <v>-409.4</v>
          </cell>
          <cell r="AB226">
            <v>96.8</v>
          </cell>
          <cell r="AC226">
            <v>-425</v>
          </cell>
          <cell r="AD226">
            <v>46.8</v>
          </cell>
          <cell r="AE226">
            <v>99.7</v>
          </cell>
          <cell r="AF226">
            <v>99.7</v>
          </cell>
          <cell r="AG226">
            <v>99.7</v>
          </cell>
          <cell r="AH226">
            <v>99.7</v>
          </cell>
          <cell r="AI226">
            <v>99.7</v>
          </cell>
          <cell r="AJ226">
            <v>142.69999999999999</v>
          </cell>
          <cell r="AK226">
            <v>185.7</v>
          </cell>
          <cell r="AL226">
            <v>-343.1</v>
          </cell>
          <cell r="AM226">
            <v>-413.3</v>
          </cell>
          <cell r="AN226">
            <v>-372.4</v>
          </cell>
          <cell r="AO226">
            <v>-372.4</v>
          </cell>
          <cell r="AP226">
            <v>-367.6</v>
          </cell>
          <cell r="AQ226">
            <v>-372.4</v>
          </cell>
          <cell r="AR226">
            <v>-351.1</v>
          </cell>
          <cell r="AS226">
            <v>-372.4</v>
          </cell>
          <cell r="AT226">
            <v>-372.4</v>
          </cell>
          <cell r="AU226">
            <v>-803.1</v>
          </cell>
          <cell r="AV226">
            <v>-772</v>
          </cell>
          <cell r="AW226">
            <v>-1202.7</v>
          </cell>
          <cell r="AX226">
            <v>-1218.4000000000001</v>
          </cell>
          <cell r="AY226">
            <v>-341.3</v>
          </cell>
          <cell r="AZ226">
            <v>-314.5</v>
          </cell>
          <cell r="BA226">
            <v>-283.2</v>
          </cell>
          <cell r="BB226">
            <v>-283.2</v>
          </cell>
          <cell r="BC226">
            <v>-283.2</v>
          </cell>
          <cell r="BD226">
            <v>-283.2</v>
          </cell>
          <cell r="BE226">
            <v>-283.2</v>
          </cell>
          <cell r="BF226">
            <v>-283.2</v>
          </cell>
          <cell r="BG226">
            <v>-309.14999999999998</v>
          </cell>
          <cell r="BH226">
            <v>-361.05</v>
          </cell>
          <cell r="BI226">
            <v>-331.45</v>
          </cell>
          <cell r="BJ226">
            <v>-331.45</v>
          </cell>
          <cell r="BK226">
            <v>-331.45</v>
          </cell>
          <cell r="BL226">
            <v>0</v>
          </cell>
          <cell r="BM226">
            <v>0</v>
          </cell>
          <cell r="BN226">
            <v>0</v>
          </cell>
          <cell r="BO226">
            <v>0</v>
          </cell>
          <cell r="BP226">
            <v>0</v>
          </cell>
          <cell r="BQ226">
            <v>0</v>
          </cell>
          <cell r="BR226">
            <v>-489.3</v>
          </cell>
          <cell r="BS226">
            <v>0</v>
          </cell>
          <cell r="BT226">
            <v>0</v>
          </cell>
          <cell r="BU226">
            <v>-64.7</v>
          </cell>
          <cell r="BV226">
            <v>-27.2</v>
          </cell>
          <cell r="BW226">
            <v>-27.2</v>
          </cell>
          <cell r="BX226">
            <v>0</v>
          </cell>
          <cell r="BY226">
            <v>0</v>
          </cell>
          <cell r="BZ226">
            <v>0</v>
          </cell>
          <cell r="CA226">
            <v>-647.5</v>
          </cell>
          <cell r="CB226">
            <v>-647.5</v>
          </cell>
          <cell r="CC226">
            <v>-591.6</v>
          </cell>
          <cell r="CD226">
            <v>-591.6</v>
          </cell>
          <cell r="CE226">
            <v>-591.6</v>
          </cell>
          <cell r="CF226">
            <v>-591.6</v>
          </cell>
          <cell r="CG226">
            <v>-591.6</v>
          </cell>
          <cell r="CH226">
            <v>-1291.9000000000001</v>
          </cell>
          <cell r="CI226">
            <v>-1275.7</v>
          </cell>
          <cell r="CJ226">
            <v>-606.5</v>
          </cell>
          <cell r="CK226">
            <v>-1290.5999999999999</v>
          </cell>
          <cell r="CL226">
            <v>-1238.4000000000001</v>
          </cell>
          <cell r="CM226">
            <v>-585.9</v>
          </cell>
          <cell r="CN226">
            <v>-1244.0999999999999</v>
          </cell>
          <cell r="CO226">
            <v>-1244.0999999999999</v>
          </cell>
          <cell r="CP226">
            <v>-1244.0999999999999</v>
          </cell>
          <cell r="CQ226">
            <v>-596.6</v>
          </cell>
          <cell r="CR226">
            <v>-1254.8</v>
          </cell>
          <cell r="CS226">
            <v>-1254.8</v>
          </cell>
          <cell r="CT226">
            <v>-1254.8</v>
          </cell>
          <cell r="CU226">
            <v>-1913</v>
          </cell>
          <cell r="CV226">
            <v>-1171.5</v>
          </cell>
          <cell r="CW226">
            <v>-1088.2</v>
          </cell>
          <cell r="CX226">
            <v>-1004.9</v>
          </cell>
          <cell r="CY226">
            <v>4182.6000000000004</v>
          </cell>
          <cell r="CZ226">
            <v>4182.6000000000004</v>
          </cell>
          <cell r="DA226">
            <v>4182.6000000000004</v>
          </cell>
          <cell r="DB226">
            <v>5907.3</v>
          </cell>
          <cell r="DC226">
            <v>5332.4</v>
          </cell>
          <cell r="DD226">
            <v>4757.5</v>
          </cell>
          <cell r="DE226">
            <v>4182.6000000000004</v>
          </cell>
          <cell r="DF226">
            <v>3607.7</v>
          </cell>
          <cell r="DG226">
            <v>4182.6000000000004</v>
          </cell>
          <cell r="DH226">
            <v>4182.6000000000004</v>
          </cell>
        </row>
        <row r="227">
          <cell r="A227" t="str">
            <v>2320017</v>
          </cell>
          <cell r="B227" t="str">
            <v>2320017</v>
          </cell>
          <cell r="C227" t="str">
            <v>AP United Fund</v>
          </cell>
          <cell r="D227">
            <v>0</v>
          </cell>
          <cell r="E227">
            <v>-2053.34</v>
          </cell>
          <cell r="F227">
            <v>-3581.68</v>
          </cell>
          <cell r="G227">
            <v>0</v>
          </cell>
          <cell r="H227">
            <v>-1514.2</v>
          </cell>
          <cell r="I227">
            <v>-3030.9</v>
          </cell>
          <cell r="J227">
            <v>0</v>
          </cell>
          <cell r="K227">
            <v>-1493.7</v>
          </cell>
          <cell r="L227">
            <v>-2979.4</v>
          </cell>
          <cell r="M227">
            <v>0</v>
          </cell>
          <cell r="N227">
            <v>-1478.7</v>
          </cell>
          <cell r="O227">
            <v>-2946.99</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row>
        <row r="228">
          <cell r="A228" t="str">
            <v>2320018</v>
          </cell>
          <cell r="B228" t="str">
            <v>2320018</v>
          </cell>
          <cell r="C228" t="str">
            <v>AP TEPAC</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-219.87</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-723.76</v>
          </cell>
          <cell r="CA228">
            <v>0</v>
          </cell>
          <cell r="CB228">
            <v>0</v>
          </cell>
          <cell r="CC228">
            <v>0</v>
          </cell>
          <cell r="CD228">
            <v>0</v>
          </cell>
          <cell r="CE228">
            <v>0</v>
          </cell>
          <cell r="CF228">
            <v>0</v>
          </cell>
          <cell r="CG228">
            <v>0</v>
          </cell>
          <cell r="CH228">
            <v>0</v>
          </cell>
          <cell r="CI228">
            <v>0</v>
          </cell>
          <cell r="CJ228">
            <v>0</v>
          </cell>
          <cell r="CK228">
            <v>-355.28</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-202.54</v>
          </cell>
          <cell r="CZ228">
            <v>0</v>
          </cell>
          <cell r="DA228">
            <v>0</v>
          </cell>
          <cell r="DB228">
            <v>0</v>
          </cell>
          <cell r="DC228">
            <v>0</v>
          </cell>
          <cell r="DD228">
            <v>0</v>
          </cell>
          <cell r="DE228">
            <v>0</v>
          </cell>
          <cell r="DF228">
            <v>0</v>
          </cell>
          <cell r="DG228">
            <v>0</v>
          </cell>
          <cell r="DH228">
            <v>0</v>
          </cell>
        </row>
        <row r="229">
          <cell r="A229" t="str">
            <v>2320019</v>
          </cell>
          <cell r="B229" t="str">
            <v>2320019</v>
          </cell>
          <cell r="C229" t="str">
            <v>AP Fitness Center</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-5</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row>
        <row r="230">
          <cell r="A230" t="str">
            <v>2320020</v>
          </cell>
          <cell r="B230" t="str">
            <v>2320020</v>
          </cell>
          <cell r="C230" t="str">
            <v>AP HSA Emplyee Cntrb</v>
          </cell>
          <cell r="D230">
            <v>376.08</v>
          </cell>
          <cell r="E230">
            <v>376.08</v>
          </cell>
          <cell r="F230">
            <v>376.08</v>
          </cell>
          <cell r="G230">
            <v>376.08</v>
          </cell>
          <cell r="H230">
            <v>9199.58</v>
          </cell>
          <cell r="I230">
            <v>376.08</v>
          </cell>
          <cell r="J230">
            <v>376.08</v>
          </cell>
          <cell r="K230">
            <v>376.08</v>
          </cell>
          <cell r="L230">
            <v>409.41</v>
          </cell>
          <cell r="M230">
            <v>376.08</v>
          </cell>
          <cell r="N230">
            <v>376.08</v>
          </cell>
          <cell r="O230">
            <v>376.08</v>
          </cell>
          <cell r="P230">
            <v>376.08</v>
          </cell>
          <cell r="Q230">
            <v>376.08</v>
          </cell>
          <cell r="R230">
            <v>376.08</v>
          </cell>
          <cell r="S230">
            <v>376.08</v>
          </cell>
          <cell r="T230">
            <v>376.08</v>
          </cell>
          <cell r="U230">
            <v>376.08</v>
          </cell>
          <cell r="V230">
            <v>376.08</v>
          </cell>
          <cell r="W230">
            <v>376.08</v>
          </cell>
          <cell r="X230">
            <v>376.08</v>
          </cell>
          <cell r="Y230">
            <v>9368.15</v>
          </cell>
          <cell r="Z230">
            <v>376.08</v>
          </cell>
          <cell r="AA230">
            <v>376.08</v>
          </cell>
          <cell r="AB230">
            <v>376.08</v>
          </cell>
          <cell r="AC230">
            <v>376.08</v>
          </cell>
          <cell r="AD230">
            <v>376.08</v>
          </cell>
          <cell r="AE230">
            <v>376.08</v>
          </cell>
          <cell r="AF230">
            <v>376.08</v>
          </cell>
          <cell r="AG230">
            <v>376.08</v>
          </cell>
          <cell r="AH230">
            <v>376.08</v>
          </cell>
          <cell r="AI230">
            <v>376.08</v>
          </cell>
          <cell r="AJ230">
            <v>9786.98</v>
          </cell>
          <cell r="AK230">
            <v>376.08</v>
          </cell>
          <cell r="AL230">
            <v>376.08</v>
          </cell>
          <cell r="AM230">
            <v>376.08</v>
          </cell>
          <cell r="AN230">
            <v>376.08</v>
          </cell>
          <cell r="AO230">
            <v>376.08</v>
          </cell>
          <cell r="AP230">
            <v>376.08</v>
          </cell>
          <cell r="AQ230">
            <v>376.08</v>
          </cell>
          <cell r="AR230">
            <v>376.08</v>
          </cell>
          <cell r="AS230">
            <v>376.08</v>
          </cell>
          <cell r="AT230">
            <v>376.08</v>
          </cell>
          <cell r="AU230">
            <v>376.08</v>
          </cell>
          <cell r="AV230">
            <v>376.08</v>
          </cell>
          <cell r="AW230">
            <v>376.08</v>
          </cell>
          <cell r="AX230">
            <v>376.08</v>
          </cell>
          <cell r="AY230">
            <v>376.08</v>
          </cell>
          <cell r="AZ230">
            <v>376.08</v>
          </cell>
          <cell r="BA230">
            <v>11021.73</v>
          </cell>
          <cell r="BB230">
            <v>10901.74</v>
          </cell>
          <cell r="BC230">
            <v>326.08</v>
          </cell>
          <cell r="BD230">
            <v>326.08</v>
          </cell>
          <cell r="BE230">
            <v>326.08</v>
          </cell>
          <cell r="BF230">
            <v>326.08</v>
          </cell>
          <cell r="BG230">
            <v>326.08</v>
          </cell>
          <cell r="BH230">
            <v>-50</v>
          </cell>
          <cell r="BI230">
            <v>-50</v>
          </cell>
          <cell r="BJ230">
            <v>-50</v>
          </cell>
          <cell r="BK230">
            <v>-50</v>
          </cell>
          <cell r="BL230">
            <v>0</v>
          </cell>
          <cell r="BM230">
            <v>0</v>
          </cell>
          <cell r="BN230">
            <v>11768</v>
          </cell>
          <cell r="BO230">
            <v>0</v>
          </cell>
          <cell r="BP230">
            <v>23681.46</v>
          </cell>
          <cell r="BQ230">
            <v>0</v>
          </cell>
          <cell r="BR230">
            <v>9.4</v>
          </cell>
          <cell r="BS230">
            <v>-188.52</v>
          </cell>
          <cell r="BT230">
            <v>-971.85</v>
          </cell>
          <cell r="BU230">
            <v>102.5</v>
          </cell>
          <cell r="BV230">
            <v>-13231.9</v>
          </cell>
          <cell r="BW230">
            <v>185.83</v>
          </cell>
          <cell r="BX230">
            <v>185.83</v>
          </cell>
          <cell r="BY230">
            <v>-13901.1</v>
          </cell>
          <cell r="BZ230">
            <v>-27991.29</v>
          </cell>
          <cell r="CA230">
            <v>-13920.99</v>
          </cell>
          <cell r="CB230">
            <v>-13920.99</v>
          </cell>
          <cell r="CC230">
            <v>-13920.99</v>
          </cell>
          <cell r="CD230">
            <v>-27940.76</v>
          </cell>
          <cell r="CE230">
            <v>-14087.65</v>
          </cell>
          <cell r="CF230">
            <v>-28477.99</v>
          </cell>
          <cell r="CG230">
            <v>-57431.99</v>
          </cell>
          <cell r="CH230">
            <v>-28525.07</v>
          </cell>
          <cell r="CI230">
            <v>-13945.99</v>
          </cell>
          <cell r="CJ230">
            <v>-13945.99</v>
          </cell>
          <cell r="CK230">
            <v>-28709.17</v>
          </cell>
          <cell r="CL230">
            <v>-13945.99</v>
          </cell>
          <cell r="CM230">
            <v>-15156.01</v>
          </cell>
          <cell r="CN230">
            <v>-29758.3</v>
          </cell>
          <cell r="CO230">
            <v>-15073.68</v>
          </cell>
          <cell r="CP230">
            <v>-15073.68</v>
          </cell>
          <cell r="CQ230">
            <v>-15073.68</v>
          </cell>
          <cell r="CR230">
            <v>-15207.01</v>
          </cell>
          <cell r="CS230">
            <v>-16384.099999999999</v>
          </cell>
          <cell r="CT230">
            <v>-32957.18</v>
          </cell>
          <cell r="CU230">
            <v>-64770</v>
          </cell>
          <cell r="CV230">
            <v>-15384.1</v>
          </cell>
          <cell r="CW230">
            <v>-15384.1</v>
          </cell>
          <cell r="CX230">
            <v>-15384.1</v>
          </cell>
          <cell r="CY230">
            <v>-31689.21</v>
          </cell>
          <cell r="CZ230">
            <v>-49035.44</v>
          </cell>
          <cell r="DA230">
            <v>-16091.29</v>
          </cell>
          <cell r="DB230">
            <v>-16428.150000000001</v>
          </cell>
          <cell r="DC230">
            <v>-53110.89</v>
          </cell>
          <cell r="DD230">
            <v>-15317.46</v>
          </cell>
          <cell r="DE230">
            <v>-32660.14</v>
          </cell>
          <cell r="DF230">
            <v>-14375.79</v>
          </cell>
          <cell r="DG230">
            <v>-14692.46</v>
          </cell>
          <cell r="DH230">
            <v>-14616.97</v>
          </cell>
        </row>
        <row r="231">
          <cell r="A231" t="str">
            <v>2320021</v>
          </cell>
          <cell r="B231" t="str">
            <v>2320021</v>
          </cell>
          <cell r="C231" t="str">
            <v>AP HSA Emplyer Cntrb</v>
          </cell>
          <cell r="D231">
            <v>0</v>
          </cell>
          <cell r="E231">
            <v>500</v>
          </cell>
          <cell r="F231">
            <v>-0.09</v>
          </cell>
          <cell r="G231">
            <v>-0.09</v>
          </cell>
          <cell r="H231">
            <v>4341.0600000000004</v>
          </cell>
          <cell r="I231">
            <v>-0.09</v>
          </cell>
          <cell r="J231">
            <v>-0.09</v>
          </cell>
          <cell r="K231">
            <v>-0.09</v>
          </cell>
          <cell r="L231">
            <v>33.24</v>
          </cell>
          <cell r="M231">
            <v>-0.09</v>
          </cell>
          <cell r="N231">
            <v>-0.09</v>
          </cell>
          <cell r="O231">
            <v>-0.09</v>
          </cell>
          <cell r="P231">
            <v>-0.09</v>
          </cell>
          <cell r="Q231">
            <v>-0.09</v>
          </cell>
          <cell r="R231">
            <v>-0.09</v>
          </cell>
          <cell r="S231">
            <v>-0.09</v>
          </cell>
          <cell r="T231">
            <v>-0.09</v>
          </cell>
          <cell r="U231">
            <v>-0.09</v>
          </cell>
          <cell r="V231">
            <v>-0.09</v>
          </cell>
          <cell r="W231">
            <v>-0.09</v>
          </cell>
          <cell r="X231">
            <v>-0.09</v>
          </cell>
          <cell r="Y231">
            <v>4170.3100000000004</v>
          </cell>
          <cell r="Z231">
            <v>-0.09</v>
          </cell>
          <cell r="AA231">
            <v>-0.09</v>
          </cell>
          <cell r="AB231">
            <v>-0.09</v>
          </cell>
          <cell r="AC231">
            <v>-0.09</v>
          </cell>
          <cell r="AD231">
            <v>-0.09</v>
          </cell>
          <cell r="AE231">
            <v>-0.09</v>
          </cell>
          <cell r="AF231">
            <v>-0.09</v>
          </cell>
          <cell r="AG231">
            <v>-0.09</v>
          </cell>
          <cell r="AH231">
            <v>-0.09</v>
          </cell>
          <cell r="AI231">
            <v>-0.09</v>
          </cell>
          <cell r="AJ231">
            <v>5596.44</v>
          </cell>
          <cell r="AK231">
            <v>-0.09</v>
          </cell>
          <cell r="AL231">
            <v>-0.09</v>
          </cell>
          <cell r="AM231">
            <v>-0.09</v>
          </cell>
          <cell r="AN231">
            <v>-0.09</v>
          </cell>
          <cell r="AO231">
            <v>1199.9100000000001</v>
          </cell>
          <cell r="AP231">
            <v>1199.9100000000001</v>
          </cell>
          <cell r="AQ231">
            <v>1199.9100000000001</v>
          </cell>
          <cell r="AR231">
            <v>1199.9100000000001</v>
          </cell>
          <cell r="AS231">
            <v>-0.09</v>
          </cell>
          <cell r="AT231">
            <v>-0.09</v>
          </cell>
          <cell r="AU231">
            <v>-0.09</v>
          </cell>
          <cell r="AV231">
            <v>-0.09</v>
          </cell>
          <cell r="AW231">
            <v>-0.09</v>
          </cell>
          <cell r="AX231">
            <v>-0.09</v>
          </cell>
          <cell r="AY231">
            <v>-0.09</v>
          </cell>
          <cell r="AZ231">
            <v>-0.09</v>
          </cell>
          <cell r="BA231">
            <v>4262.09</v>
          </cell>
          <cell r="BB231">
            <v>4487.92</v>
          </cell>
          <cell r="BC231">
            <v>-33.43</v>
          </cell>
          <cell r="BD231">
            <v>-33.43</v>
          </cell>
          <cell r="BE231">
            <v>-33.43</v>
          </cell>
          <cell r="BF231">
            <v>-33.43</v>
          </cell>
          <cell r="BG231">
            <v>-33.43</v>
          </cell>
          <cell r="BH231">
            <v>0</v>
          </cell>
          <cell r="BI231">
            <v>0</v>
          </cell>
          <cell r="BJ231">
            <v>0</v>
          </cell>
          <cell r="BK231">
            <v>0</v>
          </cell>
          <cell r="BL231">
            <v>33.340000000000003</v>
          </cell>
          <cell r="BM231">
            <v>33.340000000000003</v>
          </cell>
          <cell r="BN231">
            <v>474.27</v>
          </cell>
          <cell r="BO231">
            <v>-4566.66</v>
          </cell>
          <cell r="BP231">
            <v>5748.53</v>
          </cell>
          <cell r="BQ231">
            <v>-4566.66</v>
          </cell>
          <cell r="BR231">
            <v>-2871.66</v>
          </cell>
          <cell r="BS231">
            <v>5407.51</v>
          </cell>
          <cell r="BT231">
            <v>5109.6000000000004</v>
          </cell>
          <cell r="BU231">
            <v>-7865.4</v>
          </cell>
          <cell r="BV231">
            <v>-12444.75</v>
          </cell>
          <cell r="BW231">
            <v>-7852.9</v>
          </cell>
          <cell r="BX231">
            <v>-7927.9</v>
          </cell>
          <cell r="BY231">
            <v>-14563.92</v>
          </cell>
          <cell r="BZ231">
            <v>-19231.29</v>
          </cell>
          <cell r="CA231">
            <v>-14526.42</v>
          </cell>
          <cell r="CB231">
            <v>-13626.42</v>
          </cell>
          <cell r="CC231">
            <v>-13626.42</v>
          </cell>
          <cell r="CD231">
            <v>-19018.41</v>
          </cell>
          <cell r="CE231">
            <v>-13751.42</v>
          </cell>
          <cell r="CF231">
            <v>-18726.740000000002</v>
          </cell>
          <cell r="CG231">
            <v>-28982.39</v>
          </cell>
          <cell r="CH231">
            <v>-18764.240000000002</v>
          </cell>
          <cell r="CI231">
            <v>-13251.42</v>
          </cell>
          <cell r="CJ231">
            <v>-13251.42</v>
          </cell>
          <cell r="CK231">
            <v>-19786.240000000002</v>
          </cell>
          <cell r="CL231">
            <v>-14084.76</v>
          </cell>
          <cell r="CM231">
            <v>-15113.93</v>
          </cell>
          <cell r="CN231">
            <v>-19924.57</v>
          </cell>
          <cell r="CO231">
            <v>-15022.27</v>
          </cell>
          <cell r="CP231">
            <v>-15288.93</v>
          </cell>
          <cell r="CQ231">
            <v>-15288.93</v>
          </cell>
          <cell r="CR231">
            <v>-15347.27</v>
          </cell>
          <cell r="CS231">
            <v>-15699.34</v>
          </cell>
          <cell r="CT231">
            <v>-20662.240000000002</v>
          </cell>
          <cell r="CU231">
            <v>-30571.38</v>
          </cell>
          <cell r="CV231">
            <v>-14936.85</v>
          </cell>
          <cell r="CW231">
            <v>-14536.85</v>
          </cell>
          <cell r="CX231">
            <v>-14536.85</v>
          </cell>
          <cell r="CY231">
            <v>-20365.87</v>
          </cell>
          <cell r="CZ231">
            <v>-26925.75</v>
          </cell>
          <cell r="DA231">
            <v>-16557.68</v>
          </cell>
          <cell r="DB231">
            <v>-16966.009999999998</v>
          </cell>
          <cell r="DC231">
            <v>-30795.09</v>
          </cell>
          <cell r="DD231">
            <v>-16576.86</v>
          </cell>
          <cell r="DE231">
            <v>-28185.42</v>
          </cell>
          <cell r="DF231">
            <v>-22547.8</v>
          </cell>
          <cell r="DG231">
            <v>-22018.63</v>
          </cell>
          <cell r="DH231">
            <v>-22235.29</v>
          </cell>
        </row>
        <row r="232">
          <cell r="A232" t="str">
            <v>2320022</v>
          </cell>
          <cell r="B232" t="str">
            <v>2320022</v>
          </cell>
          <cell r="C232" t="str">
            <v>AP Med Ins Reserve</v>
          </cell>
          <cell r="D232">
            <v>-550000</v>
          </cell>
          <cell r="E232">
            <v>-584104.32999999996</v>
          </cell>
          <cell r="F232">
            <v>-499999.93</v>
          </cell>
          <cell r="G232">
            <v>-500000.02</v>
          </cell>
          <cell r="H232">
            <v>-499999.59</v>
          </cell>
          <cell r="I232">
            <v>-500000.1</v>
          </cell>
          <cell r="J232">
            <v>-499999.73</v>
          </cell>
          <cell r="K232">
            <v>-499999.7</v>
          </cell>
          <cell r="L232">
            <v>-480000.17</v>
          </cell>
          <cell r="M232">
            <v>-499999.59</v>
          </cell>
          <cell r="N232">
            <v>-499999.66</v>
          </cell>
          <cell r="O232">
            <v>-500000.39</v>
          </cell>
          <cell r="P232">
            <v>-699999.83</v>
          </cell>
          <cell r="Q232">
            <v>-600000.39</v>
          </cell>
          <cell r="R232">
            <v>-599999.97</v>
          </cell>
          <cell r="S232">
            <v>-599999.66</v>
          </cell>
          <cell r="T232">
            <v>-599999.57999999996</v>
          </cell>
          <cell r="U232">
            <v>-599999.96</v>
          </cell>
          <cell r="V232">
            <v>-599999.6</v>
          </cell>
          <cell r="W232">
            <v>-599999.5</v>
          </cell>
          <cell r="X232">
            <v>-599999.67000000004</v>
          </cell>
          <cell r="Y232">
            <v>-599999.51</v>
          </cell>
          <cell r="Z232">
            <v>-613214.12</v>
          </cell>
          <cell r="AA232">
            <v>-600000.01</v>
          </cell>
          <cell r="AB232">
            <v>-749999.86</v>
          </cell>
          <cell r="AC232">
            <v>-699999.91</v>
          </cell>
          <cell r="AD232">
            <v>-700000.19</v>
          </cell>
          <cell r="AE232">
            <v>-700000.11</v>
          </cell>
          <cell r="AF232">
            <v>-699999.88</v>
          </cell>
          <cell r="AG232">
            <v>-699999.65</v>
          </cell>
          <cell r="AH232">
            <v>-699999.84</v>
          </cell>
          <cell r="AI232">
            <v>-699999.67</v>
          </cell>
          <cell r="AJ232">
            <v>-700000.41</v>
          </cell>
          <cell r="AK232">
            <v>-699999.92</v>
          </cell>
          <cell r="AL232">
            <v>-699999.83</v>
          </cell>
          <cell r="AM232">
            <v>-699999.52</v>
          </cell>
          <cell r="AN232">
            <v>-800000.34</v>
          </cell>
          <cell r="AO232">
            <v>-700000.43</v>
          </cell>
          <cell r="AP232">
            <v>-799999.61</v>
          </cell>
          <cell r="AQ232">
            <v>-700000.08</v>
          </cell>
          <cell r="AR232">
            <v>-800000.15</v>
          </cell>
          <cell r="AS232">
            <v>-799999.66</v>
          </cell>
          <cell r="AT232">
            <v>-700673.37</v>
          </cell>
          <cell r="AU232">
            <v>-700000.2</v>
          </cell>
          <cell r="AV232">
            <v>-700000.44</v>
          </cell>
          <cell r="AW232">
            <v>-700000.3</v>
          </cell>
          <cell r="AX232">
            <v>-699999.58</v>
          </cell>
          <cell r="AY232">
            <v>-700000.31</v>
          </cell>
          <cell r="AZ232">
            <v>-600000.31000000006</v>
          </cell>
          <cell r="BA232">
            <v>-500000.49</v>
          </cell>
          <cell r="BB232">
            <v>-500000.35</v>
          </cell>
          <cell r="BC232">
            <v>-500000.29</v>
          </cell>
          <cell r="BD232">
            <v>-500000.25</v>
          </cell>
          <cell r="BE232">
            <v>-499999.86</v>
          </cell>
          <cell r="BF232">
            <v>-500000.08</v>
          </cell>
          <cell r="BG232">
            <v>-500000.07</v>
          </cell>
          <cell r="BH232">
            <v>-500000.44</v>
          </cell>
          <cell r="BI232">
            <v>-500000.46</v>
          </cell>
          <cell r="BJ232">
            <v>-499999.99</v>
          </cell>
          <cell r="BK232">
            <v>-499999.74</v>
          </cell>
          <cell r="BL232">
            <v>-1200000.08</v>
          </cell>
          <cell r="BM232">
            <v>-1100000.27</v>
          </cell>
          <cell r="BN232">
            <v>-1285517.6000000001</v>
          </cell>
          <cell r="BO232">
            <v>-1100000.5</v>
          </cell>
          <cell r="BP232">
            <v>-1101717.17</v>
          </cell>
          <cell r="BQ232">
            <v>-1100000.08</v>
          </cell>
          <cell r="BR232">
            <v>-1100000.1399999999</v>
          </cell>
          <cell r="BS232">
            <v>-1250000.2</v>
          </cell>
          <cell r="BT232">
            <v>-1099999.6399999999</v>
          </cell>
          <cell r="BU232">
            <v>-1099999.6599999999</v>
          </cell>
          <cell r="BV232">
            <v>-1099999.52</v>
          </cell>
          <cell r="BW232">
            <v>-1099999.52</v>
          </cell>
          <cell r="BX232">
            <v>-999999.87</v>
          </cell>
          <cell r="BY232">
            <v>-949999.63</v>
          </cell>
          <cell r="BZ232">
            <v>-950000.47</v>
          </cell>
          <cell r="CA232">
            <v>-949999.85</v>
          </cell>
          <cell r="CB232">
            <v>-949999.99</v>
          </cell>
          <cell r="CC232">
            <v>-950000.05</v>
          </cell>
          <cell r="CD232">
            <v>-949999.54</v>
          </cell>
          <cell r="CE232">
            <v>-949999.97</v>
          </cell>
          <cell r="CF232">
            <v>-950000.46</v>
          </cell>
          <cell r="CG232">
            <v>-949999.78</v>
          </cell>
          <cell r="CH232">
            <v>-949999.59</v>
          </cell>
          <cell r="CI232">
            <v>-950000.15</v>
          </cell>
          <cell r="CJ232">
            <v>-949999.86</v>
          </cell>
          <cell r="CK232">
            <v>-799999.79</v>
          </cell>
          <cell r="CL232">
            <v>-800000.38</v>
          </cell>
          <cell r="CM232">
            <v>-800000.3</v>
          </cell>
          <cell r="CN232">
            <v>-800000.16</v>
          </cell>
          <cell r="CO232">
            <v>-800000.43</v>
          </cell>
          <cell r="CP232">
            <v>-999999.56</v>
          </cell>
          <cell r="CQ232">
            <v>-800000.08</v>
          </cell>
          <cell r="CR232">
            <v>-800000.36</v>
          </cell>
          <cell r="CS232">
            <v>-800000</v>
          </cell>
          <cell r="CT232">
            <v>-800000.4</v>
          </cell>
          <cell r="CU232">
            <v>-800000.1</v>
          </cell>
          <cell r="CV232">
            <v>-1300000.45</v>
          </cell>
          <cell r="CW232">
            <v>-1199999.6100000001</v>
          </cell>
          <cell r="CX232">
            <v>-1199999.82</v>
          </cell>
          <cell r="CY232">
            <v>-1199999.6100000001</v>
          </cell>
          <cell r="CZ232">
            <v>-1199999.99</v>
          </cell>
          <cell r="DA232">
            <v>-1299999.98</v>
          </cell>
          <cell r="DB232">
            <v>-1199999.75</v>
          </cell>
          <cell r="DC232">
            <v>-1200000.18</v>
          </cell>
          <cell r="DD232">
            <v>-1199999.76</v>
          </cell>
          <cell r="DE232">
            <v>-1199999.53</v>
          </cell>
          <cell r="DF232">
            <v>-1200000.33</v>
          </cell>
          <cell r="DG232">
            <v>-972818.79</v>
          </cell>
          <cell r="DH232">
            <v>-1200000.02</v>
          </cell>
        </row>
        <row r="233">
          <cell r="A233" t="str">
            <v>2320023</v>
          </cell>
          <cell r="B233" t="str">
            <v>2320023</v>
          </cell>
          <cell r="C233" t="str">
            <v>AP IBEW Union Dues</v>
          </cell>
          <cell r="D233">
            <v>0</v>
          </cell>
          <cell r="E233">
            <v>0</v>
          </cell>
          <cell r="F233">
            <v>0</v>
          </cell>
          <cell r="G233">
            <v>0</v>
          </cell>
          <cell r="H233">
            <v>-450</v>
          </cell>
          <cell r="I233">
            <v>0</v>
          </cell>
          <cell r="J233">
            <v>0</v>
          </cell>
          <cell r="K233">
            <v>-420</v>
          </cell>
          <cell r="L233">
            <v>0</v>
          </cell>
          <cell r="M233">
            <v>0</v>
          </cell>
          <cell r="N233">
            <v>84</v>
          </cell>
          <cell r="O233">
            <v>0</v>
          </cell>
          <cell r="P233">
            <v>1040</v>
          </cell>
          <cell r="Q233">
            <v>660</v>
          </cell>
          <cell r="R233">
            <v>660</v>
          </cell>
          <cell r="S233">
            <v>1040</v>
          </cell>
          <cell r="T233">
            <v>1040</v>
          </cell>
          <cell r="U233">
            <v>640</v>
          </cell>
          <cell r="V233">
            <v>1040</v>
          </cell>
          <cell r="W233">
            <v>1040</v>
          </cell>
          <cell r="X233">
            <v>1040</v>
          </cell>
          <cell r="Y233">
            <v>640</v>
          </cell>
          <cell r="Z233">
            <v>1040</v>
          </cell>
          <cell r="AA233">
            <v>1040</v>
          </cell>
          <cell r="AB233">
            <v>1040</v>
          </cell>
          <cell r="AC233">
            <v>640</v>
          </cell>
          <cell r="AD233">
            <v>640</v>
          </cell>
          <cell r="AE233">
            <v>640</v>
          </cell>
          <cell r="AF233">
            <v>1040</v>
          </cell>
          <cell r="AG233">
            <v>1040</v>
          </cell>
          <cell r="AH233">
            <v>1040</v>
          </cell>
          <cell r="AI233">
            <v>1040</v>
          </cell>
          <cell r="AJ233">
            <v>1040</v>
          </cell>
          <cell r="AK233">
            <v>1040</v>
          </cell>
          <cell r="AL233">
            <v>1040</v>
          </cell>
          <cell r="AM233">
            <v>1040</v>
          </cell>
          <cell r="AN233">
            <v>1040</v>
          </cell>
          <cell r="AO233">
            <v>1040</v>
          </cell>
          <cell r="AP233">
            <v>1040</v>
          </cell>
          <cell r="AQ233">
            <v>1040</v>
          </cell>
          <cell r="AR233">
            <v>1040</v>
          </cell>
          <cell r="AS233">
            <v>-148.22</v>
          </cell>
          <cell r="AT233">
            <v>1040</v>
          </cell>
          <cell r="AU233">
            <v>1040</v>
          </cell>
          <cell r="AV233">
            <v>1040</v>
          </cell>
          <cell r="AW233">
            <v>1040</v>
          </cell>
          <cell r="AX233">
            <v>1040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-1119.46</v>
          </cell>
          <cell r="BT233">
            <v>0</v>
          </cell>
          <cell r="BU233">
            <v>0</v>
          </cell>
          <cell r="BV233">
            <v>0</v>
          </cell>
          <cell r="BW233">
            <v>-1148.48</v>
          </cell>
          <cell r="BX233">
            <v>-888.48</v>
          </cell>
          <cell r="BY233">
            <v>0</v>
          </cell>
          <cell r="BZ233">
            <v>0</v>
          </cell>
          <cell r="CA233">
            <v>0</v>
          </cell>
          <cell r="CB233">
            <v>0</v>
          </cell>
          <cell r="CC233">
            <v>-1045.08</v>
          </cell>
          <cell r="CD233">
            <v>-1059.3800000000001</v>
          </cell>
          <cell r="CE233">
            <v>-1059.3800000000001</v>
          </cell>
          <cell r="CF233">
            <v>-1059.3800000000001</v>
          </cell>
          <cell r="CG233">
            <v>-1064.48</v>
          </cell>
          <cell r="CH233">
            <v>-914.62</v>
          </cell>
          <cell r="CI233">
            <v>-687.22</v>
          </cell>
          <cell r="CJ233">
            <v>-601.72</v>
          </cell>
          <cell r="CK233">
            <v>-601.72</v>
          </cell>
          <cell r="CL233">
            <v>-607.54</v>
          </cell>
          <cell r="CM233">
            <v>0</v>
          </cell>
          <cell r="CN233">
            <v>-804.22</v>
          </cell>
          <cell r="CO233">
            <v>-804.22</v>
          </cell>
          <cell r="CP233">
            <v>-260</v>
          </cell>
          <cell r="CQ233">
            <v>-830.98</v>
          </cell>
          <cell r="CR233">
            <v>-831.6</v>
          </cell>
          <cell r="CS233">
            <v>-832.22</v>
          </cell>
          <cell r="CT233">
            <v>-736.91</v>
          </cell>
          <cell r="CU233">
            <v>-260</v>
          </cell>
          <cell r="CV233">
            <v>-812.22</v>
          </cell>
          <cell r="CW233">
            <v>-792.22</v>
          </cell>
          <cell r="CX233">
            <v>-792.22</v>
          </cell>
          <cell r="CY233">
            <v>-803.63</v>
          </cell>
          <cell r="CZ233">
            <v>-812.22</v>
          </cell>
          <cell r="DA233">
            <v>-802.22</v>
          </cell>
          <cell r="DB233">
            <v>-850.16</v>
          </cell>
          <cell r="DC233">
            <v>-793.5</v>
          </cell>
          <cell r="DD233">
            <v>-265</v>
          </cell>
          <cell r="DE233">
            <v>-379.74</v>
          </cell>
          <cell r="DF233">
            <v>-905.48</v>
          </cell>
          <cell r="DG233">
            <v>-907.92</v>
          </cell>
          <cell r="DH233">
            <v>-934.92</v>
          </cell>
        </row>
        <row r="234">
          <cell r="A234" t="str">
            <v>2320024</v>
          </cell>
          <cell r="B234" t="str">
            <v>2320024</v>
          </cell>
          <cell r="C234" t="str">
            <v>AP OPEIU Union Dues</v>
          </cell>
          <cell r="D234">
            <v>0</v>
          </cell>
          <cell r="E234">
            <v>0</v>
          </cell>
          <cell r="F234">
            <v>0</v>
          </cell>
          <cell r="G234">
            <v>0</v>
          </cell>
          <cell r="H234">
            <v>-432</v>
          </cell>
          <cell r="I234">
            <v>0</v>
          </cell>
          <cell r="J234">
            <v>0</v>
          </cell>
          <cell r="K234">
            <v>-408</v>
          </cell>
          <cell r="L234">
            <v>0</v>
          </cell>
          <cell r="M234">
            <v>0</v>
          </cell>
          <cell r="N234">
            <v>-84</v>
          </cell>
          <cell r="O234">
            <v>0</v>
          </cell>
          <cell r="P234">
            <v>0</v>
          </cell>
          <cell r="Q234">
            <v>-528</v>
          </cell>
          <cell r="R234">
            <v>-504</v>
          </cell>
          <cell r="S234">
            <v>0</v>
          </cell>
          <cell r="T234">
            <v>0</v>
          </cell>
          <cell r="U234">
            <v>-504</v>
          </cell>
          <cell r="V234">
            <v>0</v>
          </cell>
          <cell r="W234">
            <v>0</v>
          </cell>
          <cell r="X234">
            <v>0</v>
          </cell>
          <cell r="Y234">
            <v>-480</v>
          </cell>
          <cell r="Z234">
            <v>0</v>
          </cell>
          <cell r="AA234">
            <v>0</v>
          </cell>
          <cell r="AB234">
            <v>0</v>
          </cell>
          <cell r="AC234">
            <v>-408</v>
          </cell>
          <cell r="AD234">
            <v>-456</v>
          </cell>
          <cell r="AE234">
            <v>-492</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-372</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-192</v>
          </cell>
          <cell r="BT234">
            <v>0</v>
          </cell>
          <cell r="BU234">
            <v>0</v>
          </cell>
          <cell r="BV234">
            <v>0</v>
          </cell>
          <cell r="BW234">
            <v>-204</v>
          </cell>
          <cell r="BX234">
            <v>0</v>
          </cell>
          <cell r="BY234">
            <v>0</v>
          </cell>
          <cell r="BZ234">
            <v>0</v>
          </cell>
          <cell r="CA234">
            <v>0</v>
          </cell>
          <cell r="CB234">
            <v>0</v>
          </cell>
          <cell r="CC234">
            <v>-180</v>
          </cell>
          <cell r="CD234">
            <v>-216</v>
          </cell>
          <cell r="CE234">
            <v>-216</v>
          </cell>
          <cell r="CF234">
            <v>-240</v>
          </cell>
          <cell r="CG234">
            <v>-240</v>
          </cell>
          <cell r="CH234">
            <v>-240</v>
          </cell>
          <cell r="CI234">
            <v>-240</v>
          </cell>
          <cell r="CJ234">
            <v>-240</v>
          </cell>
          <cell r="CK234">
            <v>-240</v>
          </cell>
          <cell r="CL234">
            <v>-240</v>
          </cell>
          <cell r="CM234">
            <v>0</v>
          </cell>
          <cell r="CN234">
            <v>-240</v>
          </cell>
          <cell r="CO234">
            <v>-240</v>
          </cell>
          <cell r="CP234">
            <v>0</v>
          </cell>
          <cell r="CQ234">
            <v>-264</v>
          </cell>
          <cell r="CR234">
            <v>-204</v>
          </cell>
          <cell r="CS234">
            <v>-228</v>
          </cell>
          <cell r="CT234">
            <v>-228</v>
          </cell>
          <cell r="CU234">
            <v>0</v>
          </cell>
          <cell r="CV234">
            <v>-288</v>
          </cell>
          <cell r="CW234">
            <v>-240</v>
          </cell>
          <cell r="CX234">
            <v>-240</v>
          </cell>
          <cell r="CY234">
            <v>-240</v>
          </cell>
          <cell r="CZ234">
            <v>-240</v>
          </cell>
          <cell r="DA234">
            <v>-240</v>
          </cell>
          <cell r="DB234">
            <v>-240</v>
          </cell>
          <cell r="DC234">
            <v>-240</v>
          </cell>
          <cell r="DD234">
            <v>0</v>
          </cell>
          <cell r="DE234">
            <v>0</v>
          </cell>
          <cell r="DF234">
            <v>-240</v>
          </cell>
          <cell r="DG234">
            <v>-228</v>
          </cell>
          <cell r="DH234">
            <v>-216</v>
          </cell>
        </row>
        <row r="235">
          <cell r="A235" t="str">
            <v>2320025</v>
          </cell>
          <cell r="B235" t="str">
            <v>2320025</v>
          </cell>
          <cell r="C235" t="str">
            <v>AP IAM/AU Union Dues</v>
          </cell>
          <cell r="D235">
            <v>0</v>
          </cell>
          <cell r="E235">
            <v>0</v>
          </cell>
          <cell r="F235">
            <v>0</v>
          </cell>
          <cell r="G235">
            <v>0</v>
          </cell>
          <cell r="H235">
            <v>-763.88</v>
          </cell>
          <cell r="I235">
            <v>0</v>
          </cell>
          <cell r="J235">
            <v>0</v>
          </cell>
          <cell r="K235">
            <v>-763.88</v>
          </cell>
          <cell r="L235">
            <v>0</v>
          </cell>
          <cell r="M235">
            <v>0</v>
          </cell>
          <cell r="N235">
            <v>0</v>
          </cell>
          <cell r="O235">
            <v>0</v>
          </cell>
          <cell r="P235">
            <v>0</v>
          </cell>
          <cell r="Q235">
            <v>-705.12</v>
          </cell>
          <cell r="R235">
            <v>-705.12</v>
          </cell>
          <cell r="S235">
            <v>0</v>
          </cell>
          <cell r="T235">
            <v>0</v>
          </cell>
          <cell r="U235">
            <v>-646.36</v>
          </cell>
          <cell r="V235">
            <v>0</v>
          </cell>
          <cell r="W235">
            <v>0</v>
          </cell>
          <cell r="X235">
            <v>0</v>
          </cell>
          <cell r="Y235">
            <v>-470.08</v>
          </cell>
          <cell r="Z235">
            <v>0</v>
          </cell>
          <cell r="AA235">
            <v>0</v>
          </cell>
          <cell r="AB235">
            <v>0</v>
          </cell>
          <cell r="AC235">
            <v>-470.08</v>
          </cell>
          <cell r="AD235">
            <v>-440.7</v>
          </cell>
          <cell r="AE235">
            <v>-411.32</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-352.56</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-293.8</v>
          </cell>
          <cell r="BT235">
            <v>0</v>
          </cell>
          <cell r="BU235">
            <v>0</v>
          </cell>
          <cell r="BV235">
            <v>0</v>
          </cell>
          <cell r="BW235">
            <v>-646.36</v>
          </cell>
          <cell r="BX235">
            <v>0</v>
          </cell>
          <cell r="BY235">
            <v>0</v>
          </cell>
          <cell r="BZ235">
            <v>0</v>
          </cell>
          <cell r="CA235">
            <v>0</v>
          </cell>
          <cell r="CB235">
            <v>0</v>
          </cell>
          <cell r="CC235">
            <v>-881.4</v>
          </cell>
          <cell r="CD235">
            <v>-998.92</v>
          </cell>
          <cell r="CE235">
            <v>-1204.58</v>
          </cell>
          <cell r="CF235">
            <v>-998.92</v>
          </cell>
          <cell r="CG235">
            <v>-998.92</v>
          </cell>
          <cell r="CH235">
            <v>-734.5</v>
          </cell>
          <cell r="CI235">
            <v>-58.76</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row>
        <row r="236">
          <cell r="A236" t="str">
            <v>2320026</v>
          </cell>
          <cell r="B236" t="str">
            <v>2320026</v>
          </cell>
          <cell r="C236" t="str">
            <v>AP UFCW Union Dues</v>
          </cell>
          <cell r="D236">
            <v>0</v>
          </cell>
          <cell r="E236">
            <v>0</v>
          </cell>
          <cell r="F236">
            <v>0</v>
          </cell>
          <cell r="G236">
            <v>0</v>
          </cell>
          <cell r="H236">
            <v>-924</v>
          </cell>
          <cell r="I236">
            <v>0</v>
          </cell>
          <cell r="J236">
            <v>0</v>
          </cell>
          <cell r="K236">
            <v>-924</v>
          </cell>
          <cell r="L236">
            <v>0</v>
          </cell>
          <cell r="M236">
            <v>0</v>
          </cell>
          <cell r="N236">
            <v>0</v>
          </cell>
          <cell r="O236">
            <v>0</v>
          </cell>
          <cell r="P236">
            <v>0</v>
          </cell>
          <cell r="Q236">
            <v>-924</v>
          </cell>
          <cell r="R236">
            <v>-907.5</v>
          </cell>
          <cell r="S236">
            <v>0</v>
          </cell>
          <cell r="T236">
            <v>0</v>
          </cell>
          <cell r="U236">
            <v>-891</v>
          </cell>
          <cell r="V236">
            <v>0</v>
          </cell>
          <cell r="W236">
            <v>0</v>
          </cell>
          <cell r="X236">
            <v>0</v>
          </cell>
          <cell r="Y236">
            <v>-858</v>
          </cell>
          <cell r="Z236">
            <v>0</v>
          </cell>
          <cell r="AA236">
            <v>0</v>
          </cell>
          <cell r="AB236">
            <v>0</v>
          </cell>
          <cell r="AC236">
            <v>-924</v>
          </cell>
          <cell r="AD236">
            <v>-924</v>
          </cell>
          <cell r="AE236">
            <v>-825</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-792</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-805</v>
          </cell>
          <cell r="BT236">
            <v>0</v>
          </cell>
          <cell r="BU236">
            <v>0</v>
          </cell>
          <cell r="BV236">
            <v>0</v>
          </cell>
          <cell r="BW236">
            <v>-945</v>
          </cell>
          <cell r="BX236">
            <v>0</v>
          </cell>
          <cell r="BY236">
            <v>0</v>
          </cell>
          <cell r="BZ236">
            <v>0</v>
          </cell>
          <cell r="CA236">
            <v>0</v>
          </cell>
          <cell r="CB236">
            <v>0</v>
          </cell>
          <cell r="CC236">
            <v>-1015</v>
          </cell>
          <cell r="CD236">
            <v>-1015</v>
          </cell>
          <cell r="CE236">
            <v>-1015</v>
          </cell>
          <cell r="CF236">
            <v>-1015</v>
          </cell>
          <cell r="CG236">
            <v>-1015</v>
          </cell>
          <cell r="CH236">
            <v>-1015</v>
          </cell>
          <cell r="CI236">
            <v>-1015</v>
          </cell>
          <cell r="CJ236">
            <v>-1015</v>
          </cell>
          <cell r="CK236">
            <v>-1015</v>
          </cell>
          <cell r="CL236">
            <v>-1015</v>
          </cell>
          <cell r="CM236">
            <v>0</v>
          </cell>
          <cell r="CN236">
            <v>-1015</v>
          </cell>
          <cell r="CO236">
            <v>-1015</v>
          </cell>
          <cell r="CP236">
            <v>0</v>
          </cell>
          <cell r="CQ236">
            <v>-1015</v>
          </cell>
          <cell r="CR236">
            <v>-997.5</v>
          </cell>
          <cell r="CS236">
            <v>-1015</v>
          </cell>
          <cell r="CT236">
            <v>-1015</v>
          </cell>
          <cell r="CU236">
            <v>0</v>
          </cell>
          <cell r="CV236">
            <v>-1015</v>
          </cell>
          <cell r="CW236">
            <v>-945</v>
          </cell>
          <cell r="CX236">
            <v>-945</v>
          </cell>
          <cell r="CY236">
            <v>-945</v>
          </cell>
          <cell r="CZ236">
            <v>-945</v>
          </cell>
          <cell r="DA236">
            <v>-980</v>
          </cell>
          <cell r="DB236">
            <v>-1050</v>
          </cell>
          <cell r="DC236">
            <v>-1015</v>
          </cell>
          <cell r="DD236">
            <v>0</v>
          </cell>
          <cell r="DE236">
            <v>-315</v>
          </cell>
          <cell r="DF236">
            <v>-1260</v>
          </cell>
          <cell r="DG236">
            <v>-1260</v>
          </cell>
          <cell r="DH236">
            <v>-1277.5</v>
          </cell>
        </row>
        <row r="237">
          <cell r="A237" t="str">
            <v>2320027</v>
          </cell>
          <cell r="B237" t="str">
            <v>2320027</v>
          </cell>
          <cell r="C237" t="str">
            <v>AP FSA Medical</v>
          </cell>
          <cell r="D237">
            <v>-18013.8</v>
          </cell>
          <cell r="E237">
            <v>-8093.46</v>
          </cell>
          <cell r="F237">
            <v>-8482.2099999999991</v>
          </cell>
          <cell r="G237">
            <v>-5937.19</v>
          </cell>
          <cell r="H237">
            <v>-5578.55</v>
          </cell>
          <cell r="I237">
            <v>-3741.06</v>
          </cell>
          <cell r="J237">
            <v>-7200.46</v>
          </cell>
          <cell r="K237">
            <v>-8123.58</v>
          </cell>
          <cell r="L237">
            <v>-13638.74</v>
          </cell>
          <cell r="M237">
            <v>-16829.73</v>
          </cell>
          <cell r="N237">
            <v>-20356.46</v>
          </cell>
          <cell r="O237">
            <v>-24436.560000000001</v>
          </cell>
          <cell r="P237">
            <v>-25861.45</v>
          </cell>
          <cell r="Q237">
            <v>-17915.650000000001</v>
          </cell>
          <cell r="R237">
            <v>-17682.23</v>
          </cell>
          <cell r="S237">
            <v>-17467.060000000001</v>
          </cell>
          <cell r="T237">
            <v>-13615.04</v>
          </cell>
          <cell r="U237">
            <v>-13303.2</v>
          </cell>
          <cell r="V237">
            <v>-13073.58</v>
          </cell>
          <cell r="W237">
            <v>-16132.62</v>
          </cell>
          <cell r="X237">
            <v>-20154.259999999998</v>
          </cell>
          <cell r="Y237">
            <v>-21200.61</v>
          </cell>
          <cell r="Z237">
            <v>-24166.62</v>
          </cell>
          <cell r="AA237">
            <v>-27091.47</v>
          </cell>
          <cell r="AB237">
            <v>-30117.86</v>
          </cell>
          <cell r="AC237">
            <v>-21448.7</v>
          </cell>
          <cell r="AD237">
            <v>-21808.959999999999</v>
          </cell>
          <cell r="AE237">
            <v>-20128.87</v>
          </cell>
          <cell r="AF237">
            <v>-21791.34</v>
          </cell>
          <cell r="AG237">
            <v>-22023.03</v>
          </cell>
          <cell r="AH237">
            <v>-24593.27</v>
          </cell>
          <cell r="AI237">
            <v>-26037.34</v>
          </cell>
          <cell r="AJ237">
            <v>-28239.91</v>
          </cell>
          <cell r="AK237">
            <v>-32764.58</v>
          </cell>
          <cell r="AL237">
            <v>-34276.639999999999</v>
          </cell>
          <cell r="AM237">
            <v>-36692.019999999997</v>
          </cell>
          <cell r="AN237">
            <v>-39837.26</v>
          </cell>
          <cell r="AO237">
            <v>-33833.43</v>
          </cell>
          <cell r="AP237">
            <v>-35240.589999999997</v>
          </cell>
          <cell r="AQ237">
            <v>-38343.25</v>
          </cell>
          <cell r="AR237">
            <v>-38546.160000000003</v>
          </cell>
          <cell r="AS237">
            <v>-40169.72</v>
          </cell>
          <cell r="AT237">
            <v>-40631.19</v>
          </cell>
          <cell r="AU237">
            <v>-45870.61</v>
          </cell>
          <cell r="AV237">
            <v>-48796.49</v>
          </cell>
          <cell r="AW237">
            <v>-50354.68</v>
          </cell>
          <cell r="AX237">
            <v>-51055.61</v>
          </cell>
          <cell r="AY237">
            <v>-54294.57</v>
          </cell>
          <cell r="AZ237">
            <v>-54393.35</v>
          </cell>
          <cell r="BA237">
            <v>-51173.84</v>
          </cell>
          <cell r="BB237">
            <v>-52553.79</v>
          </cell>
          <cell r="BC237">
            <v>-54366.61</v>
          </cell>
          <cell r="BD237">
            <v>-52745.54</v>
          </cell>
          <cell r="BE237">
            <v>-52968.68</v>
          </cell>
          <cell r="BF237">
            <v>-54425.11</v>
          </cell>
          <cell r="BG237">
            <v>-57139.45</v>
          </cell>
          <cell r="BH237">
            <v>-58317.14</v>
          </cell>
          <cell r="BI237">
            <v>-60741.78</v>
          </cell>
          <cell r="BJ237">
            <v>-68281.66</v>
          </cell>
          <cell r="BK237">
            <v>-65972.69</v>
          </cell>
          <cell r="BL237">
            <v>-63362.28</v>
          </cell>
          <cell r="BM237">
            <v>-60758.37</v>
          </cell>
          <cell r="BN237">
            <v>-57777.66</v>
          </cell>
          <cell r="BO237">
            <v>-55822.69</v>
          </cell>
          <cell r="BP237">
            <v>-53146.21</v>
          </cell>
          <cell r="BQ237">
            <v>-56981.53</v>
          </cell>
          <cell r="BR237">
            <v>-51471.93</v>
          </cell>
          <cell r="BS237">
            <v>-52120.78</v>
          </cell>
          <cell r="BT237">
            <v>-59325.440000000002</v>
          </cell>
          <cell r="BU237">
            <v>-64930.23</v>
          </cell>
          <cell r="BV237">
            <v>-71798.5</v>
          </cell>
          <cell r="BW237">
            <v>-76390.789999999994</v>
          </cell>
          <cell r="BX237">
            <v>-23556.03</v>
          </cell>
          <cell r="BY237">
            <v>-18884.54</v>
          </cell>
          <cell r="BZ237">
            <v>-23058.79</v>
          </cell>
          <cell r="CA237">
            <v>-15563.9</v>
          </cell>
          <cell r="CB237">
            <v>-17392.03</v>
          </cell>
          <cell r="CC237">
            <v>-18340.78</v>
          </cell>
          <cell r="CD237">
            <v>-23571.66</v>
          </cell>
          <cell r="CE237">
            <v>-20122.240000000002</v>
          </cell>
          <cell r="CF237">
            <v>-24367.69</v>
          </cell>
          <cell r="CG237">
            <v>-30654.959999999999</v>
          </cell>
          <cell r="CH237">
            <v>-30153.5</v>
          </cell>
          <cell r="CI237">
            <v>-33541.5</v>
          </cell>
          <cell r="CJ237">
            <v>-32303.53</v>
          </cell>
          <cell r="CK237">
            <v>-27280.19</v>
          </cell>
          <cell r="CL237">
            <v>-27535.77</v>
          </cell>
          <cell r="CM237">
            <v>-24927.9</v>
          </cell>
          <cell r="CN237">
            <v>-20918.04</v>
          </cell>
          <cell r="CO237">
            <v>-20892.36</v>
          </cell>
          <cell r="CP237">
            <v>-21093.14</v>
          </cell>
          <cell r="CQ237">
            <v>-23306.560000000001</v>
          </cell>
          <cell r="CR237">
            <v>-22544.99</v>
          </cell>
          <cell r="CS237">
            <v>-30170.77</v>
          </cell>
          <cell r="CT237">
            <v>-35287.620000000003</v>
          </cell>
          <cell r="CU237">
            <v>-36023.49</v>
          </cell>
          <cell r="CV237">
            <v>-37370.06</v>
          </cell>
          <cell r="CW237">
            <v>-36522.58</v>
          </cell>
          <cell r="CX237">
            <v>-39847.43</v>
          </cell>
          <cell r="CY237">
            <v>-39621.050000000003</v>
          </cell>
          <cell r="CZ237">
            <v>-35757.61</v>
          </cell>
          <cell r="DA237">
            <v>-36939.629999999997</v>
          </cell>
          <cell r="DB237">
            <v>-41910.019999999997</v>
          </cell>
          <cell r="DC237">
            <v>-38108.81</v>
          </cell>
          <cell r="DD237">
            <v>-42735.83</v>
          </cell>
          <cell r="DE237">
            <v>-46797.46</v>
          </cell>
          <cell r="DF237">
            <v>-44258.36</v>
          </cell>
          <cell r="DG237">
            <v>-45881.87</v>
          </cell>
          <cell r="DH237">
            <v>-48920.27</v>
          </cell>
        </row>
        <row r="238">
          <cell r="A238" t="str">
            <v>2320028</v>
          </cell>
          <cell r="B238" t="str">
            <v>2320028</v>
          </cell>
          <cell r="C238" t="str">
            <v>AP FSA Dep Care</v>
          </cell>
          <cell r="D238">
            <v>1384.96</v>
          </cell>
          <cell r="E238">
            <v>824.94</v>
          </cell>
          <cell r="F238">
            <v>1308.3</v>
          </cell>
          <cell r="G238">
            <v>649.99</v>
          </cell>
          <cell r="H238">
            <v>1590.08</v>
          </cell>
          <cell r="I238">
            <v>1833.38</v>
          </cell>
          <cell r="J238">
            <v>2008.36</v>
          </cell>
          <cell r="K238">
            <v>1766.67</v>
          </cell>
          <cell r="L238">
            <v>1524.98</v>
          </cell>
          <cell r="M238">
            <v>1283.29</v>
          </cell>
          <cell r="N238">
            <v>1041.5999999999999</v>
          </cell>
          <cell r="O238">
            <v>799.95</v>
          </cell>
          <cell r="P238">
            <v>558.29999999999995</v>
          </cell>
          <cell r="Q238">
            <v>191.62</v>
          </cell>
          <cell r="R238">
            <v>2224.94</v>
          </cell>
          <cell r="S238">
            <v>2358.2600000000002</v>
          </cell>
          <cell r="T238">
            <v>1991.58</v>
          </cell>
          <cell r="U238">
            <v>1624.9</v>
          </cell>
          <cell r="V238">
            <v>1258.22</v>
          </cell>
          <cell r="W238">
            <v>891.54</v>
          </cell>
          <cell r="X238">
            <v>524.86</v>
          </cell>
          <cell r="Y238">
            <v>158.18</v>
          </cell>
          <cell r="Z238">
            <v>-208.5</v>
          </cell>
          <cell r="AA238">
            <v>-575.1</v>
          </cell>
          <cell r="AB238">
            <v>-941.7</v>
          </cell>
          <cell r="AC238">
            <v>-1324.96</v>
          </cell>
          <cell r="AD238">
            <v>491.74</v>
          </cell>
          <cell r="AE238">
            <v>308.39999999999998</v>
          </cell>
          <cell r="AF238">
            <v>925.02</v>
          </cell>
          <cell r="AG238">
            <v>541.67999999999995</v>
          </cell>
          <cell r="AH238">
            <v>-555.94000000000005</v>
          </cell>
          <cell r="AI238">
            <v>-1653.56</v>
          </cell>
          <cell r="AJ238">
            <v>-2751.18</v>
          </cell>
          <cell r="AK238">
            <v>-3175.46</v>
          </cell>
          <cell r="AL238">
            <v>-3205.83</v>
          </cell>
          <cell r="AM238">
            <v>-3705.17</v>
          </cell>
          <cell r="AN238">
            <v>-2479.5</v>
          </cell>
          <cell r="AO238">
            <v>-1732.96</v>
          </cell>
          <cell r="AP238">
            <v>-3362.91</v>
          </cell>
          <cell r="AQ238">
            <v>-3743.35</v>
          </cell>
          <cell r="AR238">
            <v>-3763.29</v>
          </cell>
          <cell r="AS238">
            <v>-4539.1099999999997</v>
          </cell>
          <cell r="AT238">
            <v>-4039.05</v>
          </cell>
          <cell r="AU238">
            <v>-4979.84</v>
          </cell>
          <cell r="AV238">
            <v>-2948.11</v>
          </cell>
          <cell r="AW238">
            <v>-4423.16</v>
          </cell>
          <cell r="AX238">
            <v>-4823.21</v>
          </cell>
          <cell r="AY238">
            <v>-4646.55</v>
          </cell>
          <cell r="AZ238">
            <v>-5563.38</v>
          </cell>
          <cell r="BA238">
            <v>-7274.26</v>
          </cell>
          <cell r="BB238">
            <v>-5211.8</v>
          </cell>
          <cell r="BC238">
            <v>-4432.58</v>
          </cell>
          <cell r="BD238">
            <v>-4928.43</v>
          </cell>
          <cell r="BE238">
            <v>-6039.23</v>
          </cell>
          <cell r="BF238">
            <v>-6430.02</v>
          </cell>
          <cell r="BG238">
            <v>-7086.66</v>
          </cell>
          <cell r="BH238">
            <v>-6263.3</v>
          </cell>
          <cell r="BI238">
            <v>-6872.53</v>
          </cell>
          <cell r="BJ238">
            <v>-8352.57</v>
          </cell>
          <cell r="BK238">
            <v>-7305.9</v>
          </cell>
          <cell r="BL238">
            <v>-7495.11</v>
          </cell>
          <cell r="BM238">
            <v>-9045.09</v>
          </cell>
          <cell r="BN238">
            <v>-10145.07</v>
          </cell>
          <cell r="BO238">
            <v>-9265.5400000000009</v>
          </cell>
          <cell r="BP238">
            <v>-8705.7800000000007</v>
          </cell>
          <cell r="BQ238">
            <v>-10446.51</v>
          </cell>
          <cell r="BR238">
            <v>-11724.41</v>
          </cell>
          <cell r="BS238">
            <v>-7188.39</v>
          </cell>
          <cell r="BT238">
            <v>-8573.42</v>
          </cell>
          <cell r="BU238">
            <v>-8301.9599999999991</v>
          </cell>
          <cell r="BV238">
            <v>-9918.66</v>
          </cell>
          <cell r="BW238">
            <v>-10006</v>
          </cell>
          <cell r="BX238">
            <v>-5504.27</v>
          </cell>
          <cell r="BY238">
            <v>1688.57</v>
          </cell>
          <cell r="BZ238">
            <v>192.37</v>
          </cell>
          <cell r="CA238">
            <v>-199.99</v>
          </cell>
          <cell r="CB238">
            <v>1313.56</v>
          </cell>
          <cell r="CC238">
            <v>83.61</v>
          </cell>
          <cell r="CD238">
            <v>-1177.0899999999999</v>
          </cell>
          <cell r="CE238">
            <v>-1772.79</v>
          </cell>
          <cell r="CF238">
            <v>236.59</v>
          </cell>
          <cell r="CG238">
            <v>-280.08999999999997</v>
          </cell>
          <cell r="CH238">
            <v>2106.0500000000002</v>
          </cell>
          <cell r="CI238">
            <v>2039.37</v>
          </cell>
          <cell r="CJ238">
            <v>2722.71</v>
          </cell>
          <cell r="CK238">
            <v>3956.09</v>
          </cell>
          <cell r="CL238">
            <v>3106.09</v>
          </cell>
          <cell r="CM238">
            <v>2894.61</v>
          </cell>
          <cell r="CN238">
            <v>2287.1999999999998</v>
          </cell>
          <cell r="CO238">
            <v>1303.8900000000001</v>
          </cell>
          <cell r="CP238">
            <v>417.59</v>
          </cell>
          <cell r="CQ238">
            <v>978.47</v>
          </cell>
          <cell r="CR238">
            <v>-84.21</v>
          </cell>
          <cell r="CS238">
            <v>-1045.93</v>
          </cell>
          <cell r="CT238">
            <v>-1969.81</v>
          </cell>
          <cell r="CU238">
            <v>3893.65</v>
          </cell>
          <cell r="CV238">
            <v>3284.63</v>
          </cell>
          <cell r="CW238">
            <v>6171.32</v>
          </cell>
          <cell r="CX238">
            <v>4279.67</v>
          </cell>
          <cell r="CY238">
            <v>3572.51</v>
          </cell>
          <cell r="CZ238">
            <v>2640.41</v>
          </cell>
          <cell r="DA238">
            <v>1548.97</v>
          </cell>
          <cell r="DB238">
            <v>107.93</v>
          </cell>
          <cell r="DC238">
            <v>455.29</v>
          </cell>
          <cell r="DD238">
            <v>-1700.37</v>
          </cell>
          <cell r="DE238">
            <v>-4298.99</v>
          </cell>
          <cell r="DF238">
            <v>-3436.67</v>
          </cell>
          <cell r="DG238">
            <v>3942.69</v>
          </cell>
          <cell r="DH238">
            <v>2257.38</v>
          </cell>
        </row>
        <row r="239">
          <cell r="A239" t="str">
            <v>2320029</v>
          </cell>
          <cell r="B239" t="str">
            <v>2320029</v>
          </cell>
          <cell r="C239" t="str">
            <v>AP FSA Parking</v>
          </cell>
          <cell r="D239">
            <v>-2494.3000000000002</v>
          </cell>
          <cell r="E239">
            <v>-987.5</v>
          </cell>
          <cell r="F239">
            <v>-954.7</v>
          </cell>
          <cell r="G239">
            <v>-954.7</v>
          </cell>
          <cell r="H239">
            <v>-954.7</v>
          </cell>
          <cell r="I239">
            <v>-954.7</v>
          </cell>
          <cell r="J239">
            <v>-954.7</v>
          </cell>
          <cell r="K239">
            <v>-954.7</v>
          </cell>
          <cell r="L239">
            <v>-954.7</v>
          </cell>
          <cell r="M239">
            <v>-954.7</v>
          </cell>
          <cell r="N239">
            <v>-954.7</v>
          </cell>
          <cell r="O239">
            <v>-954.7</v>
          </cell>
          <cell r="P239">
            <v>-954.7</v>
          </cell>
          <cell r="Q239">
            <v>-743.5</v>
          </cell>
          <cell r="R239">
            <v>-743.5</v>
          </cell>
          <cell r="S239">
            <v>-626.5</v>
          </cell>
          <cell r="T239">
            <v>-445.3</v>
          </cell>
          <cell r="U239">
            <v>-328.3</v>
          </cell>
          <cell r="V239">
            <v>-211.3</v>
          </cell>
          <cell r="W239">
            <v>-94.3</v>
          </cell>
          <cell r="X239">
            <v>22.7</v>
          </cell>
          <cell r="Y239">
            <v>22.7</v>
          </cell>
          <cell r="Z239">
            <v>22.7</v>
          </cell>
          <cell r="AA239">
            <v>22.7</v>
          </cell>
          <cell r="AB239">
            <v>22.7</v>
          </cell>
          <cell r="AC239">
            <v>22.7</v>
          </cell>
          <cell r="AD239">
            <v>22.7</v>
          </cell>
          <cell r="AE239">
            <v>22.7</v>
          </cell>
          <cell r="AF239">
            <v>22.7</v>
          </cell>
          <cell r="AG239">
            <v>22.7</v>
          </cell>
          <cell r="AH239">
            <v>22.7</v>
          </cell>
          <cell r="AI239">
            <v>22.7</v>
          </cell>
          <cell r="AJ239">
            <v>-14.8</v>
          </cell>
          <cell r="AK239">
            <v>-52.3</v>
          </cell>
          <cell r="AL239">
            <v>-127.3</v>
          </cell>
          <cell r="AM239">
            <v>-127.3</v>
          </cell>
          <cell r="AN239">
            <v>-127.3</v>
          </cell>
          <cell r="AO239">
            <v>-127.3</v>
          </cell>
          <cell r="AP239">
            <v>-127.3</v>
          </cell>
          <cell r="AQ239">
            <v>-52.3</v>
          </cell>
          <cell r="AR239">
            <v>-52.3</v>
          </cell>
          <cell r="AS239">
            <v>-52.3</v>
          </cell>
          <cell r="AT239">
            <v>-124.3</v>
          </cell>
          <cell r="AU239">
            <v>99.9</v>
          </cell>
          <cell r="AV239">
            <v>174.9</v>
          </cell>
          <cell r="AW239">
            <v>174.9</v>
          </cell>
          <cell r="AX239">
            <v>-1271.02</v>
          </cell>
          <cell r="AY239">
            <v>33.85</v>
          </cell>
          <cell r="AZ239">
            <v>1479.77</v>
          </cell>
          <cell r="BA239">
            <v>33.85</v>
          </cell>
          <cell r="BB239">
            <v>33.85</v>
          </cell>
          <cell r="BC239">
            <v>-41.15</v>
          </cell>
          <cell r="BD239">
            <v>-41.15</v>
          </cell>
          <cell r="BE239">
            <v>-79.150000000000006</v>
          </cell>
          <cell r="BF239">
            <v>-79.150000000000006</v>
          </cell>
          <cell r="BG239">
            <v>-1378.07</v>
          </cell>
          <cell r="BH239">
            <v>-417.15</v>
          </cell>
          <cell r="BI239">
            <v>-518.85</v>
          </cell>
          <cell r="BJ239">
            <v>-2031.97</v>
          </cell>
          <cell r="BK239">
            <v>-593.85</v>
          </cell>
          <cell r="BL239">
            <v>-593.85</v>
          </cell>
          <cell r="BM239">
            <v>-1842.87</v>
          </cell>
          <cell r="BN239">
            <v>-2700.87</v>
          </cell>
          <cell r="BO239">
            <v>-3468.03</v>
          </cell>
          <cell r="BP239">
            <v>-3798.37</v>
          </cell>
          <cell r="BQ239">
            <v>-4310.34</v>
          </cell>
          <cell r="BR239">
            <v>-4110.0200000000004</v>
          </cell>
          <cell r="BS239">
            <v>-4109.8900000000003</v>
          </cell>
          <cell r="BT239">
            <v>-2951.3</v>
          </cell>
          <cell r="BU239">
            <v>-3280.89</v>
          </cell>
          <cell r="BV239">
            <v>-3604.92</v>
          </cell>
          <cell r="BW239">
            <v>-3129.28</v>
          </cell>
          <cell r="BX239">
            <v>-3188.8</v>
          </cell>
          <cell r="BY239">
            <v>-1953.54</v>
          </cell>
          <cell r="BZ239">
            <v>-2881.23</v>
          </cell>
          <cell r="CA239">
            <v>-3043.11</v>
          </cell>
          <cell r="CB239">
            <v>-2837.74</v>
          </cell>
          <cell r="CC239">
            <v>-2770.65</v>
          </cell>
          <cell r="CD239">
            <v>-3272.27</v>
          </cell>
          <cell r="CE239">
            <v>-2319.48</v>
          </cell>
          <cell r="CF239">
            <v>-2380.3000000000002</v>
          </cell>
          <cell r="CG239">
            <v>-3194.58</v>
          </cell>
          <cell r="CH239">
            <v>-2812.78</v>
          </cell>
          <cell r="CI239">
            <v>-2985.56</v>
          </cell>
          <cell r="CJ239">
            <v>-2627.68</v>
          </cell>
          <cell r="CK239">
            <v>-2558</v>
          </cell>
          <cell r="CL239">
            <v>-2909.85</v>
          </cell>
          <cell r="CM239">
            <v>-282.58</v>
          </cell>
          <cell r="CN239">
            <v>-2983.13</v>
          </cell>
          <cell r="CO239">
            <v>-3591.99</v>
          </cell>
          <cell r="CP239">
            <v>-4081.69</v>
          </cell>
          <cell r="CQ239">
            <v>-2861.35</v>
          </cell>
          <cell r="CR239">
            <v>-3358.99</v>
          </cell>
          <cell r="CS239">
            <v>-4099.63</v>
          </cell>
          <cell r="CT239">
            <v>-3990.67</v>
          </cell>
          <cell r="CU239">
            <v>-3634.8</v>
          </cell>
          <cell r="CV239">
            <v>-3286.02</v>
          </cell>
          <cell r="CW239">
            <v>-4167.26</v>
          </cell>
          <cell r="CX239">
            <v>-5339.19</v>
          </cell>
          <cell r="CY239">
            <v>-5589.59</v>
          </cell>
          <cell r="CZ239">
            <v>-5080.37</v>
          </cell>
          <cell r="DA239">
            <v>-5205.34</v>
          </cell>
          <cell r="DB239">
            <v>-5725.33</v>
          </cell>
          <cell r="DC239">
            <v>-5081.3999999999996</v>
          </cell>
          <cell r="DD239">
            <v>-5314.57</v>
          </cell>
          <cell r="DE239">
            <v>-6099.71</v>
          </cell>
          <cell r="DF239">
            <v>-5891.25</v>
          </cell>
          <cell r="DG239">
            <v>-6386.12</v>
          </cell>
          <cell r="DH239">
            <v>-5664.04</v>
          </cell>
        </row>
        <row r="240">
          <cell r="A240" t="str">
            <v>2320030</v>
          </cell>
          <cell r="B240" t="str">
            <v>2320030</v>
          </cell>
          <cell r="C240" t="str">
            <v>AP Amer GasIndx Fund</v>
          </cell>
          <cell r="D240">
            <v>0</v>
          </cell>
          <cell r="E240">
            <v>0</v>
          </cell>
          <cell r="F240">
            <v>0</v>
          </cell>
          <cell r="G240">
            <v>0</v>
          </cell>
          <cell r="H240">
            <v>-180</v>
          </cell>
          <cell r="I240">
            <v>0</v>
          </cell>
          <cell r="J240">
            <v>0</v>
          </cell>
          <cell r="K240">
            <v>-80</v>
          </cell>
          <cell r="L240">
            <v>0</v>
          </cell>
          <cell r="M240">
            <v>0</v>
          </cell>
          <cell r="N240">
            <v>0</v>
          </cell>
          <cell r="O240">
            <v>0</v>
          </cell>
          <cell r="P240">
            <v>0</v>
          </cell>
          <cell r="Q240">
            <v>-80</v>
          </cell>
          <cell r="R240">
            <v>-80</v>
          </cell>
          <cell r="S240">
            <v>0</v>
          </cell>
          <cell r="T240">
            <v>0</v>
          </cell>
          <cell r="U240">
            <v>-80</v>
          </cell>
          <cell r="V240">
            <v>0</v>
          </cell>
          <cell r="W240">
            <v>0</v>
          </cell>
          <cell r="X240">
            <v>0</v>
          </cell>
          <cell r="Y240">
            <v>-50</v>
          </cell>
          <cell r="Z240">
            <v>0</v>
          </cell>
          <cell r="AA240">
            <v>0</v>
          </cell>
          <cell r="AB240">
            <v>0</v>
          </cell>
          <cell r="AC240">
            <v>-50</v>
          </cell>
          <cell r="AD240">
            <v>-50</v>
          </cell>
          <cell r="AE240">
            <v>-50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-50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-50</v>
          </cell>
          <cell r="BT240">
            <v>0</v>
          </cell>
          <cell r="BU240">
            <v>0</v>
          </cell>
          <cell r="BV240">
            <v>0</v>
          </cell>
          <cell r="BW240">
            <v>-20</v>
          </cell>
          <cell r="BX240">
            <v>888.48</v>
          </cell>
          <cell r="BY240">
            <v>0</v>
          </cell>
          <cell r="BZ240">
            <v>0</v>
          </cell>
          <cell r="CA240">
            <v>0</v>
          </cell>
          <cell r="CB240">
            <v>0</v>
          </cell>
          <cell r="CC240">
            <v>-20</v>
          </cell>
          <cell r="CD240">
            <v>-20</v>
          </cell>
          <cell r="CE240">
            <v>-20</v>
          </cell>
          <cell r="CF240">
            <v>-20</v>
          </cell>
          <cell r="CG240">
            <v>-20</v>
          </cell>
          <cell r="CH240">
            <v>-20</v>
          </cell>
          <cell r="CI240">
            <v>-20</v>
          </cell>
          <cell r="CJ240">
            <v>-20</v>
          </cell>
          <cell r="CK240">
            <v>-20</v>
          </cell>
          <cell r="CL240">
            <v>-20</v>
          </cell>
          <cell r="CM240">
            <v>0</v>
          </cell>
          <cell r="CN240">
            <v>-20</v>
          </cell>
          <cell r="CO240">
            <v>-20</v>
          </cell>
          <cell r="CP240">
            <v>0</v>
          </cell>
          <cell r="CQ240">
            <v>-20</v>
          </cell>
          <cell r="CR240">
            <v>-20</v>
          </cell>
          <cell r="CS240">
            <v>-20</v>
          </cell>
          <cell r="CT240">
            <v>-20</v>
          </cell>
          <cell r="CU240">
            <v>0</v>
          </cell>
          <cell r="CV240">
            <v>-20</v>
          </cell>
          <cell r="CW240">
            <v>-20</v>
          </cell>
          <cell r="CX240">
            <v>-20</v>
          </cell>
          <cell r="CY240">
            <v>-20</v>
          </cell>
          <cell r="CZ240">
            <v>-20</v>
          </cell>
          <cell r="DA240">
            <v>-20</v>
          </cell>
          <cell r="DB240">
            <v>-20</v>
          </cell>
          <cell r="DC240">
            <v>-20</v>
          </cell>
          <cell r="DD240">
            <v>0</v>
          </cell>
          <cell r="DE240">
            <v>0</v>
          </cell>
          <cell r="DF240">
            <v>-20</v>
          </cell>
          <cell r="DG240">
            <v>-20</v>
          </cell>
          <cell r="DH240">
            <v>-20</v>
          </cell>
        </row>
        <row r="241">
          <cell r="A241" t="str">
            <v>2320031</v>
          </cell>
          <cell r="B241" t="str">
            <v>2320031</v>
          </cell>
          <cell r="C241" t="str">
            <v>AP Fuel Accrual</v>
          </cell>
          <cell r="D241">
            <v>-10299259.01</v>
          </cell>
          <cell r="E241">
            <v>-18120673.210000001</v>
          </cell>
          <cell r="F241">
            <v>-12008336.699999999</v>
          </cell>
          <cell r="G241">
            <v>-12588810.98</v>
          </cell>
          <cell r="H241">
            <v>-12205787.210000001</v>
          </cell>
          <cell r="I241">
            <v>-9095221.5399999991</v>
          </cell>
          <cell r="J241">
            <v>-5691557</v>
          </cell>
          <cell r="K241">
            <v>-7021194.8399999999</v>
          </cell>
          <cell r="L241">
            <v>-8849412.1099999994</v>
          </cell>
          <cell r="M241">
            <v>-6576475.2199999997</v>
          </cell>
          <cell r="N241">
            <v>-10153348.359999999</v>
          </cell>
          <cell r="O241">
            <v>-14812731.52</v>
          </cell>
          <cell r="P241">
            <v>-13311425.119999999</v>
          </cell>
          <cell r="Q241">
            <v>-13968134.609999999</v>
          </cell>
          <cell r="R241">
            <v>-13946595.470000001</v>
          </cell>
          <cell r="S241">
            <v>-10634221.83</v>
          </cell>
          <cell r="T241">
            <v>-12478793.33</v>
          </cell>
          <cell r="U241">
            <v>-7516979.6200000001</v>
          </cell>
          <cell r="V241">
            <v>-7673808.2400000002</v>
          </cell>
          <cell r="W241">
            <v>-6937659.8700000001</v>
          </cell>
          <cell r="X241">
            <v>-10398307.91</v>
          </cell>
          <cell r="Y241">
            <v>-9009122.5700000003</v>
          </cell>
          <cell r="Z241">
            <v>-12160172.43</v>
          </cell>
          <cell r="AA241">
            <v>-14761688.99</v>
          </cell>
          <cell r="AB241">
            <v>-9516607.5600000005</v>
          </cell>
          <cell r="AC241">
            <v>-14513866.48</v>
          </cell>
          <cell r="AD241">
            <v>-12287346.91</v>
          </cell>
          <cell r="AE241">
            <v>-11134718.73</v>
          </cell>
          <cell r="AF241">
            <v>-12469329.619999999</v>
          </cell>
          <cell r="AG241">
            <v>-8070094.7300000004</v>
          </cell>
          <cell r="AH241">
            <v>-8045701.3099999996</v>
          </cell>
          <cell r="AI241">
            <v>-12186605.6</v>
          </cell>
          <cell r="AJ241">
            <v>-12088507.65</v>
          </cell>
          <cell r="AK241">
            <v>-11507462.720000001</v>
          </cell>
          <cell r="AL241">
            <v>-15541368.18</v>
          </cell>
          <cell r="AM241">
            <v>-11270859.01</v>
          </cell>
          <cell r="AN241">
            <v>-12029381.470000001</v>
          </cell>
          <cell r="AO241">
            <v>-13529246.25</v>
          </cell>
          <cell r="AP241">
            <v>-9138589.4399999995</v>
          </cell>
          <cell r="AQ241">
            <v>-11182819.800000001</v>
          </cell>
          <cell r="AR241">
            <v>-13256574.01</v>
          </cell>
          <cell r="AS241">
            <v>-10596982.289999999</v>
          </cell>
          <cell r="AT241">
            <v>-9018465.9299999997</v>
          </cell>
          <cell r="AU241">
            <v>-11128576.289999999</v>
          </cell>
          <cell r="AV241">
            <v>-15996147.65</v>
          </cell>
          <cell r="AW241">
            <v>-14274879.720000001</v>
          </cell>
          <cell r="AX241">
            <v>-12657737.880000001</v>
          </cell>
          <cell r="AY241">
            <v>-12859263.51</v>
          </cell>
          <cell r="AZ241">
            <v>-15311363.380000001</v>
          </cell>
          <cell r="BA241">
            <v>-21963382.93</v>
          </cell>
          <cell r="BB241">
            <v>-9098061.4399999995</v>
          </cell>
          <cell r="BC241">
            <v>-10449599.630000001</v>
          </cell>
          <cell r="BD241">
            <v>-9088051.7400000002</v>
          </cell>
          <cell r="BE241">
            <v>-10095044.1</v>
          </cell>
          <cell r="BF241">
            <v>-11914581.42</v>
          </cell>
          <cell r="BG241">
            <v>-12191564.51</v>
          </cell>
          <cell r="BH241">
            <v>-9526288.3499999996</v>
          </cell>
          <cell r="BI241">
            <v>-10562727.51</v>
          </cell>
          <cell r="BJ241">
            <v>-17341511.120000001</v>
          </cell>
          <cell r="BK241">
            <v>-19216454.280000001</v>
          </cell>
          <cell r="BL241">
            <v>-19057481.73</v>
          </cell>
          <cell r="BM241">
            <v>-15322862.73</v>
          </cell>
          <cell r="BN241">
            <v>-9550740.4000000004</v>
          </cell>
          <cell r="BO241">
            <v>-12500576.08</v>
          </cell>
          <cell r="BP241">
            <v>-10689473.26</v>
          </cell>
          <cell r="BQ241">
            <v>-10765323.09</v>
          </cell>
          <cell r="BR241">
            <v>-6914615.3899999997</v>
          </cell>
          <cell r="BS241">
            <v>-8099316.6900000004</v>
          </cell>
          <cell r="BT241">
            <v>-9528941.0800000001</v>
          </cell>
          <cell r="BU241">
            <v>-11819406.4</v>
          </cell>
          <cell r="BV241">
            <v>-13081301.380000001</v>
          </cell>
          <cell r="BW241">
            <v>-13543392.970000001</v>
          </cell>
          <cell r="BX241">
            <v>-13595616.57</v>
          </cell>
          <cell r="BY241">
            <v>-13204175.65</v>
          </cell>
          <cell r="BZ241">
            <v>-10502683.15</v>
          </cell>
          <cell r="CA241">
            <v>-10148194.470000001</v>
          </cell>
          <cell r="CB241">
            <v>-6823930.6399999997</v>
          </cell>
          <cell r="CC241">
            <v>-7437657.6200000001</v>
          </cell>
          <cell r="CD241">
            <v>-8400238.2100000009</v>
          </cell>
          <cell r="CE241">
            <v>-8551543.1300000008</v>
          </cell>
          <cell r="CF241">
            <v>-8062293.8399999999</v>
          </cell>
          <cell r="CG241">
            <v>-8597906.0800000001</v>
          </cell>
          <cell r="CH241">
            <v>-10128411.1</v>
          </cell>
          <cell r="CI241">
            <v>-12370628.800000001</v>
          </cell>
          <cell r="CJ241">
            <v>-14934161.970000001</v>
          </cell>
          <cell r="CK241">
            <v>-12835097.720000001</v>
          </cell>
          <cell r="CL241">
            <v>-12966846.779999999</v>
          </cell>
          <cell r="CM241">
            <v>-10858803.529999999</v>
          </cell>
          <cell r="CN241">
            <v>-8567530.4499999993</v>
          </cell>
          <cell r="CO241">
            <v>-6807669.3399999999</v>
          </cell>
          <cell r="CP241">
            <v>-7766302.8899999997</v>
          </cell>
          <cell r="CQ241">
            <v>-9223554.6099999994</v>
          </cell>
          <cell r="CR241">
            <v>-9107415.1799999997</v>
          </cell>
          <cell r="CS241">
            <v>-7775918.3499999996</v>
          </cell>
          <cell r="CT241">
            <v>-15039112.32</v>
          </cell>
          <cell r="CU241">
            <v>-17715847.559999999</v>
          </cell>
          <cell r="CV241">
            <v>-14188892.109999999</v>
          </cell>
          <cell r="CW241">
            <v>-20294813.640000001</v>
          </cell>
          <cell r="CX241">
            <v>-15901185.630000001</v>
          </cell>
          <cell r="CY241">
            <v>-15507287.67</v>
          </cell>
          <cell r="CZ241">
            <v>-15561386.310000001</v>
          </cell>
          <cell r="DA241">
            <v>-21332300.960000001</v>
          </cell>
          <cell r="DB241">
            <v>-18775727.34</v>
          </cell>
          <cell r="DC241">
            <v>-19377629.609999999</v>
          </cell>
          <cell r="DD241">
            <v>-18573384.140000001</v>
          </cell>
          <cell r="DE241">
            <v>-21927929.199999999</v>
          </cell>
          <cell r="DF241">
            <v>-21428221.91</v>
          </cell>
          <cell r="DG241">
            <v>-21738994.91</v>
          </cell>
          <cell r="DH241">
            <v>-20518673.5</v>
          </cell>
        </row>
        <row r="242">
          <cell r="A242" t="str">
            <v>2320035</v>
          </cell>
          <cell r="B242" t="str">
            <v>2320035</v>
          </cell>
          <cell r="C242" t="str">
            <v>AP Interchange</v>
          </cell>
          <cell r="D242">
            <v>0</v>
          </cell>
          <cell r="E242">
            <v>0</v>
          </cell>
          <cell r="F242">
            <v>0</v>
          </cell>
          <cell r="G242">
            <v>0</v>
          </cell>
          <cell r="H242">
            <v>0.6</v>
          </cell>
          <cell r="I242">
            <v>0.6</v>
          </cell>
          <cell r="J242">
            <v>0.6</v>
          </cell>
          <cell r="K242">
            <v>15904.66</v>
          </cell>
          <cell r="L242">
            <v>0.6</v>
          </cell>
          <cell r="M242">
            <v>0.6</v>
          </cell>
          <cell r="N242">
            <v>0.6</v>
          </cell>
          <cell r="O242">
            <v>0.6</v>
          </cell>
          <cell r="P242">
            <v>0.6</v>
          </cell>
          <cell r="Q242">
            <v>0.6</v>
          </cell>
          <cell r="R242">
            <v>0.6</v>
          </cell>
          <cell r="S242">
            <v>0.6</v>
          </cell>
          <cell r="T242">
            <v>0.6</v>
          </cell>
          <cell r="U242">
            <v>0.6</v>
          </cell>
          <cell r="V242">
            <v>0.6</v>
          </cell>
          <cell r="W242">
            <v>0.6</v>
          </cell>
          <cell r="X242">
            <v>0.6</v>
          </cell>
          <cell r="Y242">
            <v>0.6</v>
          </cell>
          <cell r="Z242">
            <v>0.6</v>
          </cell>
          <cell r="AA242">
            <v>0.6</v>
          </cell>
          <cell r="AB242">
            <v>0.6</v>
          </cell>
          <cell r="AC242">
            <v>0.6</v>
          </cell>
          <cell r="AD242">
            <v>0.6</v>
          </cell>
          <cell r="AE242">
            <v>0.6</v>
          </cell>
          <cell r="AF242">
            <v>0.6</v>
          </cell>
          <cell r="AG242">
            <v>0.6</v>
          </cell>
          <cell r="AH242">
            <v>0.6</v>
          </cell>
          <cell r="AI242">
            <v>0.6</v>
          </cell>
          <cell r="AJ242">
            <v>0.6</v>
          </cell>
          <cell r="AK242">
            <v>0.6</v>
          </cell>
          <cell r="AL242">
            <v>0.6</v>
          </cell>
          <cell r="AM242">
            <v>0.6</v>
          </cell>
          <cell r="AN242">
            <v>0.6</v>
          </cell>
          <cell r="AO242">
            <v>0.6</v>
          </cell>
          <cell r="AP242">
            <v>0.6</v>
          </cell>
          <cell r="AQ242">
            <v>0.6</v>
          </cell>
          <cell r="AR242">
            <v>0.6</v>
          </cell>
          <cell r="AS242">
            <v>0.6</v>
          </cell>
          <cell r="AT242">
            <v>0.6</v>
          </cell>
          <cell r="AU242">
            <v>0.6</v>
          </cell>
          <cell r="AV242">
            <v>0.6</v>
          </cell>
          <cell r="AW242">
            <v>0.6</v>
          </cell>
          <cell r="AX242">
            <v>0.6</v>
          </cell>
          <cell r="AY242">
            <v>0.6</v>
          </cell>
          <cell r="AZ242">
            <v>0.6</v>
          </cell>
          <cell r="BA242">
            <v>0.6</v>
          </cell>
          <cell r="BB242">
            <v>0.6</v>
          </cell>
          <cell r="BC242">
            <v>0.6</v>
          </cell>
          <cell r="BD242">
            <v>0.6</v>
          </cell>
          <cell r="BE242">
            <v>0.6</v>
          </cell>
          <cell r="BF242">
            <v>0.6</v>
          </cell>
          <cell r="BG242">
            <v>0.6</v>
          </cell>
          <cell r="BH242">
            <v>0.6</v>
          </cell>
          <cell r="BI242">
            <v>0.6</v>
          </cell>
          <cell r="BJ242">
            <v>0.6</v>
          </cell>
          <cell r="BK242">
            <v>0.6</v>
          </cell>
          <cell r="BL242">
            <v>0.6</v>
          </cell>
          <cell r="BM242">
            <v>0.6</v>
          </cell>
          <cell r="BN242">
            <v>0.6</v>
          </cell>
          <cell r="BO242">
            <v>0.6</v>
          </cell>
          <cell r="BP242">
            <v>0.6</v>
          </cell>
          <cell r="BQ242">
            <v>0.6</v>
          </cell>
          <cell r="BR242">
            <v>0.6</v>
          </cell>
          <cell r="BS242">
            <v>0.6</v>
          </cell>
          <cell r="BT242">
            <v>0.6</v>
          </cell>
          <cell r="BU242">
            <v>0.6</v>
          </cell>
          <cell r="BV242">
            <v>0.6</v>
          </cell>
          <cell r="BW242">
            <v>0.6</v>
          </cell>
          <cell r="BX242">
            <v>0.6</v>
          </cell>
          <cell r="BY242">
            <v>0.6</v>
          </cell>
          <cell r="BZ242">
            <v>0.6</v>
          </cell>
          <cell r="CA242">
            <v>0.6</v>
          </cell>
          <cell r="CB242">
            <v>0.6</v>
          </cell>
          <cell r="CC242">
            <v>0.6</v>
          </cell>
          <cell r="CD242">
            <v>0.6</v>
          </cell>
          <cell r="CE242">
            <v>0.6</v>
          </cell>
          <cell r="CF242">
            <v>0.6</v>
          </cell>
          <cell r="CG242">
            <v>0.6</v>
          </cell>
          <cell r="CH242">
            <v>0.6</v>
          </cell>
          <cell r="CI242">
            <v>0.6</v>
          </cell>
          <cell r="CJ242">
            <v>0.6</v>
          </cell>
          <cell r="CK242">
            <v>0.6</v>
          </cell>
          <cell r="CL242">
            <v>0.6</v>
          </cell>
          <cell r="CM242">
            <v>0.6</v>
          </cell>
          <cell r="CN242">
            <v>0.6</v>
          </cell>
          <cell r="CO242">
            <v>0.6</v>
          </cell>
          <cell r="CP242">
            <v>0.6</v>
          </cell>
          <cell r="CQ242">
            <v>0.6</v>
          </cell>
          <cell r="CR242">
            <v>0.6</v>
          </cell>
          <cell r="CS242">
            <v>0.6</v>
          </cell>
          <cell r="CT242">
            <v>0.6</v>
          </cell>
          <cell r="CU242">
            <v>0.6</v>
          </cell>
          <cell r="CV242">
            <v>0.6</v>
          </cell>
          <cell r="CW242">
            <v>0.6</v>
          </cell>
          <cell r="CX242">
            <v>0.6</v>
          </cell>
          <cell r="CY242">
            <v>0.6</v>
          </cell>
          <cell r="CZ242">
            <v>0.6</v>
          </cell>
          <cell r="DA242">
            <v>0.6</v>
          </cell>
          <cell r="DB242">
            <v>0.6</v>
          </cell>
          <cell r="DC242">
            <v>0.6</v>
          </cell>
          <cell r="DD242">
            <v>0.6</v>
          </cell>
          <cell r="DE242">
            <v>0.6</v>
          </cell>
          <cell r="DF242">
            <v>0.6</v>
          </cell>
          <cell r="DG242">
            <v>0.6</v>
          </cell>
          <cell r="DH242">
            <v>0.6</v>
          </cell>
        </row>
        <row r="243">
          <cell r="A243" t="str">
            <v>2320036</v>
          </cell>
          <cell r="B243" t="str">
            <v>2320036</v>
          </cell>
          <cell r="C243" t="str">
            <v>AP Share Program</v>
          </cell>
          <cell r="D243">
            <v>-82</v>
          </cell>
          <cell r="E243">
            <v>-206</v>
          </cell>
          <cell r="F243">
            <v>-61</v>
          </cell>
          <cell r="G243">
            <v>-61</v>
          </cell>
          <cell r="H243">
            <v>-132</v>
          </cell>
          <cell r="I243">
            <v>-132</v>
          </cell>
          <cell r="J243">
            <v>-132</v>
          </cell>
          <cell r="K243">
            <v>-132</v>
          </cell>
          <cell r="L243">
            <v>-131</v>
          </cell>
          <cell r="M243">
            <v>-59</v>
          </cell>
          <cell r="N243">
            <v>-59</v>
          </cell>
          <cell r="O243">
            <v>-59</v>
          </cell>
          <cell r="P243">
            <v>-659</v>
          </cell>
          <cell r="Q243">
            <v>-59</v>
          </cell>
          <cell r="R243">
            <v>-38</v>
          </cell>
          <cell r="S243">
            <v>-36</v>
          </cell>
          <cell r="T243">
            <v>-341</v>
          </cell>
          <cell r="U243">
            <v>-36</v>
          </cell>
          <cell r="V243">
            <v>-36</v>
          </cell>
          <cell r="W243">
            <v>-36</v>
          </cell>
          <cell r="X243">
            <v>-36</v>
          </cell>
          <cell r="Y243">
            <v>-34</v>
          </cell>
          <cell r="Z243">
            <v>-34</v>
          </cell>
          <cell r="AA243">
            <v>-384</v>
          </cell>
          <cell r="AB243">
            <v>-486</v>
          </cell>
          <cell r="AC243">
            <v>-541</v>
          </cell>
          <cell r="AD243">
            <v>-546</v>
          </cell>
          <cell r="AE243">
            <v>-546</v>
          </cell>
          <cell r="AF243">
            <v>-554</v>
          </cell>
          <cell r="AG243">
            <v>-570</v>
          </cell>
          <cell r="AH243">
            <v>-571</v>
          </cell>
          <cell r="AI243">
            <v>-571</v>
          </cell>
          <cell r="AJ243">
            <v>-576</v>
          </cell>
          <cell r="AK243">
            <v>-581</v>
          </cell>
          <cell r="AL243">
            <v>-581</v>
          </cell>
          <cell r="AM243">
            <v>-581</v>
          </cell>
          <cell r="AN243">
            <v>-521</v>
          </cell>
          <cell r="AO243">
            <v>-521</v>
          </cell>
          <cell r="AP243">
            <v>-521</v>
          </cell>
          <cell r="AQ243">
            <v>-518.5</v>
          </cell>
          <cell r="AR243">
            <v>-551</v>
          </cell>
          <cell r="AS243">
            <v>-593.5</v>
          </cell>
          <cell r="AT243">
            <v>-596</v>
          </cell>
          <cell r="AU243">
            <v>-596</v>
          </cell>
          <cell r="AV243">
            <v>-596</v>
          </cell>
          <cell r="AW243">
            <v>-596</v>
          </cell>
          <cell r="AX243">
            <v>-596</v>
          </cell>
          <cell r="AY243">
            <v>-596</v>
          </cell>
          <cell r="AZ243">
            <v>-571</v>
          </cell>
          <cell r="BA243">
            <v>-576</v>
          </cell>
          <cell r="BB243">
            <v>-574.5</v>
          </cell>
          <cell r="BC243">
            <v>-560.29999999999995</v>
          </cell>
          <cell r="BD243">
            <v>-562.6</v>
          </cell>
          <cell r="BE243">
            <v>-591.4</v>
          </cell>
          <cell r="BF243">
            <v>-132.80000000000001</v>
          </cell>
          <cell r="BG243">
            <v>-135.80000000000001</v>
          </cell>
          <cell r="BH243">
            <v>-156.80000000000001</v>
          </cell>
          <cell r="BI243">
            <v>-142.30000000000001</v>
          </cell>
          <cell r="BJ243">
            <v>-143.80000000000001</v>
          </cell>
          <cell r="BK243">
            <v>-342.8</v>
          </cell>
          <cell r="BL243">
            <v>73.2</v>
          </cell>
          <cell r="BM243">
            <v>-12.8</v>
          </cell>
          <cell r="BN243">
            <v>-434.6</v>
          </cell>
          <cell r="BO243">
            <v>-835.85</v>
          </cell>
          <cell r="BP243">
            <v>-1193.7</v>
          </cell>
          <cell r="BQ243">
            <v>-706</v>
          </cell>
          <cell r="BR243">
            <v>-717</v>
          </cell>
          <cell r="BS243">
            <v>-1113.3</v>
          </cell>
          <cell r="BT243">
            <v>-1453.6</v>
          </cell>
          <cell r="BU243">
            <v>-1055.8</v>
          </cell>
          <cell r="BV243">
            <v>-1437.1</v>
          </cell>
          <cell r="BW243">
            <v>-1072.3</v>
          </cell>
          <cell r="BX243">
            <v>-775.5</v>
          </cell>
          <cell r="BY243">
            <v>-1367.8</v>
          </cell>
          <cell r="BZ243">
            <v>-1232.3</v>
          </cell>
          <cell r="CA243">
            <v>-2017.21</v>
          </cell>
          <cell r="CB243">
            <v>-2774.9</v>
          </cell>
          <cell r="CC243">
            <v>-1714.5</v>
          </cell>
          <cell r="CD243">
            <v>-2723</v>
          </cell>
          <cell r="CE243">
            <v>-4755</v>
          </cell>
          <cell r="CF243">
            <v>-1239</v>
          </cell>
          <cell r="CG243">
            <v>-2445.4</v>
          </cell>
          <cell r="CH243">
            <v>-2586.9</v>
          </cell>
          <cell r="CI243">
            <v>-2833.5</v>
          </cell>
          <cell r="CJ243">
            <v>-2560</v>
          </cell>
          <cell r="CK243">
            <v>-1696.99</v>
          </cell>
          <cell r="CL243">
            <v>-3535.66</v>
          </cell>
          <cell r="CM243">
            <v>-3684.8</v>
          </cell>
          <cell r="CN243">
            <v>-1713.14</v>
          </cell>
          <cell r="CO243">
            <v>-4978.2299999999996</v>
          </cell>
          <cell r="CP243">
            <v>-6772.33</v>
          </cell>
          <cell r="CQ243">
            <v>-8614.26</v>
          </cell>
          <cell r="CR243">
            <v>-1914.3</v>
          </cell>
          <cell r="CS243">
            <v>-3801.37</v>
          </cell>
          <cell r="CT243">
            <v>-5775.97</v>
          </cell>
          <cell r="CU243">
            <v>-2024.1</v>
          </cell>
          <cell r="CV243">
            <v>-9968.5499999999993</v>
          </cell>
          <cell r="CW243">
            <v>-11994.84</v>
          </cell>
          <cell r="CX243">
            <v>-14232.74</v>
          </cell>
          <cell r="CY243">
            <v>-16758.13</v>
          </cell>
          <cell r="CZ243">
            <v>-18908.830000000002</v>
          </cell>
          <cell r="DA243">
            <v>-21071.55</v>
          </cell>
          <cell r="DB243">
            <v>-2132.14</v>
          </cell>
          <cell r="DC243">
            <v>-4275.3900000000003</v>
          </cell>
          <cell r="DD243">
            <v>-6511.2</v>
          </cell>
          <cell r="DE243">
            <v>-8761.6299999999992</v>
          </cell>
          <cell r="DF243">
            <v>-44554.64</v>
          </cell>
          <cell r="DG243">
            <v>32825.07</v>
          </cell>
          <cell r="DH243">
            <v>32463.87</v>
          </cell>
        </row>
        <row r="244">
          <cell r="A244" t="str">
            <v>2320037</v>
          </cell>
          <cell r="B244" t="str">
            <v>2320037</v>
          </cell>
          <cell r="C244" t="str">
            <v>AP Vision Ben Plan</v>
          </cell>
          <cell r="D244">
            <v>21.44</v>
          </cell>
          <cell r="E244">
            <v>37.450000000000003</v>
          </cell>
          <cell r="F244">
            <v>144.71</v>
          </cell>
          <cell r="G244">
            <v>78.290000000000006</v>
          </cell>
          <cell r="H244">
            <v>103.99</v>
          </cell>
          <cell r="I244">
            <v>138.13999999999999</v>
          </cell>
          <cell r="J244">
            <v>263.51</v>
          </cell>
          <cell r="K244">
            <v>134.94</v>
          </cell>
          <cell r="L244">
            <v>145.32</v>
          </cell>
          <cell r="M244">
            <v>143.97999999999999</v>
          </cell>
          <cell r="N244">
            <v>143.13999999999999</v>
          </cell>
          <cell r="O244">
            <v>274.02999999999997</v>
          </cell>
          <cell r="P244">
            <v>182.17</v>
          </cell>
          <cell r="Q244">
            <v>258.05</v>
          </cell>
          <cell r="R244">
            <v>192.45</v>
          </cell>
          <cell r="S244">
            <v>259.02</v>
          </cell>
          <cell r="T244">
            <v>292.67</v>
          </cell>
          <cell r="U244">
            <v>384.47</v>
          </cell>
          <cell r="V244">
            <v>428.86</v>
          </cell>
          <cell r="W244">
            <v>470.72</v>
          </cell>
          <cell r="X244">
            <v>498.44</v>
          </cell>
          <cell r="Y244">
            <v>722.48</v>
          </cell>
          <cell r="Z244">
            <v>-1468.39</v>
          </cell>
          <cell r="AA244">
            <v>891.89</v>
          </cell>
          <cell r="AB244">
            <v>999</v>
          </cell>
          <cell r="AC244">
            <v>889.25</v>
          </cell>
          <cell r="AD244">
            <v>960.66</v>
          </cell>
          <cell r="AE244">
            <v>1244.46</v>
          </cell>
          <cell r="AF244">
            <v>1348.3</v>
          </cell>
          <cell r="AG244">
            <v>1640.03</v>
          </cell>
          <cell r="AH244">
            <v>1126.67</v>
          </cell>
          <cell r="AI244">
            <v>-1687.4</v>
          </cell>
          <cell r="AJ244">
            <v>1201.18</v>
          </cell>
          <cell r="AK244">
            <v>1236.42</v>
          </cell>
          <cell r="AL244">
            <v>1435.21</v>
          </cell>
          <cell r="AM244">
            <v>-1619.15</v>
          </cell>
          <cell r="AN244">
            <v>1413.2</v>
          </cell>
          <cell r="AO244">
            <v>-1651.59</v>
          </cell>
          <cell r="AP244">
            <v>-1759.14</v>
          </cell>
          <cell r="AQ244">
            <v>1514</v>
          </cell>
          <cell r="AR244">
            <v>1608.65</v>
          </cell>
          <cell r="AS244">
            <v>-1621.39</v>
          </cell>
          <cell r="AT244">
            <v>-1249.1400000000001</v>
          </cell>
          <cell r="AU244">
            <v>2387.17</v>
          </cell>
          <cell r="AV244">
            <v>-1439.28</v>
          </cell>
          <cell r="AW244">
            <v>-1436.91</v>
          </cell>
          <cell r="AX244">
            <v>-1365.51</v>
          </cell>
          <cell r="AY244">
            <v>2146.4299999999998</v>
          </cell>
          <cell r="AZ244">
            <v>-1301.3900000000001</v>
          </cell>
          <cell r="BA244">
            <v>-1318.23</v>
          </cell>
          <cell r="BB244">
            <v>-4958.38</v>
          </cell>
          <cell r="BC244">
            <v>-1560.21</v>
          </cell>
          <cell r="BD244">
            <v>1962.89</v>
          </cell>
          <cell r="BE244">
            <v>-1683.38</v>
          </cell>
          <cell r="BF244">
            <v>1972.55</v>
          </cell>
          <cell r="BG244">
            <v>1985.15</v>
          </cell>
          <cell r="BH244">
            <v>1958.94</v>
          </cell>
          <cell r="BI244">
            <v>1988.97</v>
          </cell>
          <cell r="BJ244">
            <v>1947.74</v>
          </cell>
          <cell r="BK244">
            <v>1977.7</v>
          </cell>
          <cell r="BL244">
            <v>393.48</v>
          </cell>
          <cell r="BM244">
            <v>478.82</v>
          </cell>
          <cell r="BN244">
            <v>543.9</v>
          </cell>
          <cell r="BO244">
            <v>-343.52</v>
          </cell>
          <cell r="BP244">
            <v>-334.83</v>
          </cell>
          <cell r="BQ244">
            <v>-148.46</v>
          </cell>
          <cell r="BR244">
            <v>-302.83</v>
          </cell>
          <cell r="BS244">
            <v>92.25</v>
          </cell>
          <cell r="BT244">
            <v>156.80000000000001</v>
          </cell>
          <cell r="BU244">
            <v>269.73</v>
          </cell>
          <cell r="BV244">
            <v>371.4</v>
          </cell>
          <cell r="BW244">
            <v>419</v>
          </cell>
          <cell r="BX244">
            <v>-106.45</v>
          </cell>
          <cell r="BY244">
            <v>357.63</v>
          </cell>
          <cell r="BZ244">
            <v>328.93</v>
          </cell>
          <cell r="CA244">
            <v>0</v>
          </cell>
          <cell r="CB244">
            <v>181.18</v>
          </cell>
          <cell r="CC244">
            <v>424.53</v>
          </cell>
          <cell r="CD244">
            <v>0</v>
          </cell>
          <cell r="CE244">
            <v>160.85</v>
          </cell>
          <cell r="CF244">
            <v>467.26</v>
          </cell>
          <cell r="CG244">
            <v>-401.3</v>
          </cell>
          <cell r="CH244">
            <v>-162.52000000000001</v>
          </cell>
          <cell r="CI244">
            <v>-6.46</v>
          </cell>
          <cell r="CJ244">
            <v>0</v>
          </cell>
          <cell r="CK244">
            <v>316.16000000000003</v>
          </cell>
          <cell r="CL244">
            <v>-4359.63</v>
          </cell>
          <cell r="CM244">
            <v>552.19000000000005</v>
          </cell>
          <cell r="CN244">
            <v>537.94000000000005</v>
          </cell>
          <cell r="CO244">
            <v>649.29</v>
          </cell>
          <cell r="CP244">
            <v>979.81</v>
          </cell>
          <cell r="CQ244">
            <v>1016.18</v>
          </cell>
          <cell r="CR244">
            <v>1378.33</v>
          </cell>
          <cell r="CS244">
            <v>1481.16</v>
          </cell>
          <cell r="CT244">
            <v>-3267.96</v>
          </cell>
          <cell r="CU244">
            <v>-3121.04</v>
          </cell>
          <cell r="CV244">
            <v>-9478.01</v>
          </cell>
          <cell r="CW244">
            <v>-9592.7999999999993</v>
          </cell>
          <cell r="CX244">
            <v>-9715.9500000000007</v>
          </cell>
          <cell r="CY244">
            <v>877.52</v>
          </cell>
          <cell r="CZ244">
            <v>1160.6500000000001</v>
          </cell>
          <cell r="DA244">
            <v>-6389.76</v>
          </cell>
          <cell r="DB244">
            <v>-630.41999999999996</v>
          </cell>
          <cell r="DC244">
            <v>-596.28</v>
          </cell>
          <cell r="DD244">
            <v>-369.08</v>
          </cell>
          <cell r="DE244">
            <v>120.04</v>
          </cell>
          <cell r="DF244">
            <v>896.56</v>
          </cell>
          <cell r="DG244">
            <v>1261.24</v>
          </cell>
          <cell r="DH244">
            <v>600.14</v>
          </cell>
        </row>
        <row r="245">
          <cell r="A245" t="str">
            <v>2320040</v>
          </cell>
          <cell r="B245" t="str">
            <v>2320040</v>
          </cell>
          <cell r="C245" t="str">
            <v>AP Misc Donations</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-1435</v>
          </cell>
          <cell r="BW245">
            <v>-1435</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row>
        <row r="246">
          <cell r="A246" t="str">
            <v>2320047</v>
          </cell>
          <cell r="B246" t="str">
            <v>2320047</v>
          </cell>
          <cell r="C246" t="str">
            <v>AP PY Dividend Clrg</v>
          </cell>
          <cell r="D246">
            <v>0</v>
          </cell>
          <cell r="E246">
            <v>0</v>
          </cell>
          <cell r="F246">
            <v>0</v>
          </cell>
          <cell r="G246">
            <v>0</v>
          </cell>
          <cell r="H246">
            <v>0</v>
          </cell>
          <cell r="I246">
            <v>-7497.6</v>
          </cell>
          <cell r="J246">
            <v>0</v>
          </cell>
          <cell r="K246">
            <v>0</v>
          </cell>
          <cell r="L246">
            <v>0</v>
          </cell>
          <cell r="M246">
            <v>0</v>
          </cell>
          <cell r="N246">
            <v>0</v>
          </cell>
          <cell r="O246">
            <v>-7382.1</v>
          </cell>
          <cell r="P246">
            <v>0</v>
          </cell>
          <cell r="Q246">
            <v>0</v>
          </cell>
          <cell r="R246">
            <v>0</v>
          </cell>
          <cell r="S246">
            <v>0</v>
          </cell>
          <cell r="T246">
            <v>0</v>
          </cell>
          <cell r="U246">
            <v>-6775.97</v>
          </cell>
          <cell r="V246">
            <v>0</v>
          </cell>
          <cell r="W246">
            <v>0</v>
          </cell>
          <cell r="X246">
            <v>0</v>
          </cell>
          <cell r="Y246">
            <v>0</v>
          </cell>
          <cell r="Z246">
            <v>0</v>
          </cell>
          <cell r="AA246">
            <v>-6775.97</v>
          </cell>
          <cell r="AB246">
            <v>0</v>
          </cell>
          <cell r="AC246">
            <v>0</v>
          </cell>
          <cell r="AD246">
            <v>-7444.64</v>
          </cell>
          <cell r="AE246">
            <v>0</v>
          </cell>
          <cell r="AF246">
            <v>0</v>
          </cell>
          <cell r="AG246">
            <v>-7739.04</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row>
        <row r="247">
          <cell r="A247" t="str">
            <v>2320999</v>
          </cell>
          <cell r="B247" t="str">
            <v>2320999</v>
          </cell>
          <cell r="C247" t="str">
            <v>AP Legacy M&amp;S RNB</v>
          </cell>
          <cell r="D247">
            <v>1000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row>
        <row r="248">
          <cell r="A248" t="str">
            <v>2330711</v>
          </cell>
          <cell r="B248" t="str">
            <v>2330711</v>
          </cell>
          <cell r="C248" t="str">
            <v>NP IC Current Postng</v>
          </cell>
          <cell r="D248">
            <v>0</v>
          </cell>
          <cell r="E248">
            <v>0</v>
          </cell>
          <cell r="F248">
            <v>0</v>
          </cell>
          <cell r="G248">
            <v>0</v>
          </cell>
          <cell r="H248">
            <v>0</v>
          </cell>
          <cell r="I248">
            <v>0</v>
          </cell>
          <cell r="J248">
            <v>0</v>
          </cell>
          <cell r="K248">
            <v>0</v>
          </cell>
          <cell r="L248">
            <v>-800000</v>
          </cell>
          <cell r="M248">
            <v>-4700000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-600000</v>
          </cell>
          <cell r="AI248">
            <v>0</v>
          </cell>
          <cell r="AJ248">
            <v>0</v>
          </cell>
          <cell r="AK248">
            <v>0</v>
          </cell>
          <cell r="AL248">
            <v>0</v>
          </cell>
          <cell r="AM248">
            <v>0</v>
          </cell>
          <cell r="AN248">
            <v>0</v>
          </cell>
          <cell r="AO248">
            <v>0</v>
          </cell>
          <cell r="AP248">
            <v>0</v>
          </cell>
          <cell r="AQ248">
            <v>0</v>
          </cell>
          <cell r="AR248">
            <v>0</v>
          </cell>
          <cell r="AS248">
            <v>-1700000</v>
          </cell>
          <cell r="AT248">
            <v>0</v>
          </cell>
          <cell r="AU248">
            <v>0</v>
          </cell>
          <cell r="AV248">
            <v>0</v>
          </cell>
          <cell r="AW248">
            <v>0</v>
          </cell>
          <cell r="AX248">
            <v>0</v>
          </cell>
          <cell r="AY248">
            <v>-46059900</v>
          </cell>
          <cell r="AZ248">
            <v>-52684300</v>
          </cell>
          <cell r="BA248">
            <v>-50045713</v>
          </cell>
          <cell r="BB248">
            <v>0</v>
          </cell>
          <cell r="BC248">
            <v>0</v>
          </cell>
          <cell r="BD248">
            <v>0</v>
          </cell>
          <cell r="BE248">
            <v>0</v>
          </cell>
          <cell r="BF248">
            <v>0</v>
          </cell>
          <cell r="BG248">
            <v>0</v>
          </cell>
          <cell r="BH248">
            <v>0</v>
          </cell>
          <cell r="BI248">
            <v>0</v>
          </cell>
          <cell r="BJ248">
            <v>-26601973.98</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-4181104</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-36571246.979999997</v>
          </cell>
          <cell r="DD248">
            <v>-24775692.280000001</v>
          </cell>
          <cell r="DE248">
            <v>0</v>
          </cell>
          <cell r="DF248">
            <v>0</v>
          </cell>
          <cell r="DG248">
            <v>0</v>
          </cell>
          <cell r="DH248">
            <v>0</v>
          </cell>
        </row>
        <row r="249">
          <cell r="A249" t="str">
            <v>2340700</v>
          </cell>
          <cell r="B249" t="str">
            <v>2340700</v>
          </cell>
          <cell r="C249" t="str">
            <v>AP Interco Recon</v>
          </cell>
          <cell r="D249">
            <v>-7103154.0499999998</v>
          </cell>
          <cell r="E249">
            <v>-5604995.96</v>
          </cell>
          <cell r="F249">
            <v>-5479917.0099999998</v>
          </cell>
          <cell r="G249">
            <v>-5898273.3899999997</v>
          </cell>
          <cell r="H249">
            <v>-5243408.34</v>
          </cell>
          <cell r="I249">
            <v>-19900860.989999998</v>
          </cell>
          <cell r="J249">
            <v>-13833685.859999999</v>
          </cell>
          <cell r="K249">
            <v>-6033196.0800000001</v>
          </cell>
          <cell r="L249">
            <v>-5013447.95</v>
          </cell>
          <cell r="M249">
            <v>-4738593.17</v>
          </cell>
          <cell r="N249">
            <v>-4804396.34</v>
          </cell>
          <cell r="O249">
            <v>-9784161.2300000004</v>
          </cell>
          <cell r="P249">
            <v>-6931672.9800000004</v>
          </cell>
          <cell r="Q249">
            <v>-5711194.25</v>
          </cell>
          <cell r="R249">
            <v>-5494204.2199999997</v>
          </cell>
          <cell r="S249">
            <v>-6137465.1399999997</v>
          </cell>
          <cell r="T249">
            <v>-5622748.2699999996</v>
          </cell>
          <cell r="U249">
            <v>-10296933.26</v>
          </cell>
          <cell r="V249">
            <v>-6000829.9500000002</v>
          </cell>
          <cell r="W249">
            <v>-6669087.5800000001</v>
          </cell>
          <cell r="X249">
            <v>-4907465.74</v>
          </cell>
          <cell r="Y249">
            <v>-5103197.88</v>
          </cell>
          <cell r="Z249">
            <v>-4953393.7699999996</v>
          </cell>
          <cell r="AA249">
            <v>-10525641.5</v>
          </cell>
          <cell r="AB249">
            <v>-8393816.5500000007</v>
          </cell>
          <cell r="AC249">
            <v>-5297140.6500000004</v>
          </cell>
          <cell r="AD249">
            <v>-5589103.21</v>
          </cell>
          <cell r="AE249">
            <v>-6044815.5899999999</v>
          </cell>
          <cell r="AF249">
            <v>-4567689.16</v>
          </cell>
          <cell r="AG249">
            <v>-9361769.2899999991</v>
          </cell>
          <cell r="AH249">
            <v>-5117350.29</v>
          </cell>
          <cell r="AI249">
            <v>-4764048.22</v>
          </cell>
          <cell r="AJ249">
            <v>-3187576.26</v>
          </cell>
          <cell r="AK249">
            <v>-3093852.96</v>
          </cell>
          <cell r="AL249">
            <v>-4295831.5599999996</v>
          </cell>
          <cell r="AM249">
            <v>-9412223.0999999996</v>
          </cell>
          <cell r="AN249">
            <v>-8085514.1500000004</v>
          </cell>
          <cell r="AO249">
            <v>-2298090.23</v>
          </cell>
          <cell r="AP249">
            <v>-11562903.4</v>
          </cell>
          <cell r="AQ249">
            <v>-4042467.65</v>
          </cell>
          <cell r="AR249">
            <v>-8503302.1999999993</v>
          </cell>
          <cell r="AS249">
            <v>-13894925.84</v>
          </cell>
          <cell r="AT249">
            <v>-2588192.88</v>
          </cell>
          <cell r="AU249">
            <v>-7532643.4100000001</v>
          </cell>
          <cell r="AV249">
            <v>-4414155.74</v>
          </cell>
          <cell r="AW249">
            <v>-2905724.76</v>
          </cell>
          <cell r="AX249">
            <v>-4440501.88</v>
          </cell>
          <cell r="AY249">
            <v>-10404007.43</v>
          </cell>
          <cell r="AZ249">
            <v>-7206810.2999999998</v>
          </cell>
          <cell r="BA249">
            <v>-6048238.4199999999</v>
          </cell>
          <cell r="BB249">
            <v>-5644473.3600000003</v>
          </cell>
          <cell r="BC249">
            <v>-5668505.0199999996</v>
          </cell>
          <cell r="BD249">
            <v>-5457301.5700000003</v>
          </cell>
          <cell r="BE249">
            <v>-9529554.0299999993</v>
          </cell>
          <cell r="BF249">
            <v>-6979020.6299999999</v>
          </cell>
          <cell r="BG249">
            <v>-5291143.84</v>
          </cell>
          <cell r="BH249">
            <v>-5033056.0599999996</v>
          </cell>
          <cell r="BI249">
            <v>-5727561.8899999997</v>
          </cell>
          <cell r="BJ249">
            <v>-5646545.2999999998</v>
          </cell>
          <cell r="BK249">
            <v>-9579371.3100000005</v>
          </cell>
          <cell r="BL249">
            <v>-8435558.2799999993</v>
          </cell>
          <cell r="BM249">
            <v>-8636890.2899999991</v>
          </cell>
          <cell r="BN249">
            <v>-6141273.0700000003</v>
          </cell>
          <cell r="BO249">
            <v>-7078437.5999999996</v>
          </cell>
          <cell r="BP249">
            <v>-6085406.8200000003</v>
          </cell>
          <cell r="BQ249">
            <v>-9503784.0199999996</v>
          </cell>
          <cell r="BR249">
            <v>-8494586.6400000006</v>
          </cell>
          <cell r="BS249">
            <v>-5529162.5700000003</v>
          </cell>
          <cell r="BT249">
            <v>-6425165.2400000002</v>
          </cell>
          <cell r="BU249">
            <v>-5751130.2999999998</v>
          </cell>
          <cell r="BV249">
            <v>-5515770.4000000004</v>
          </cell>
          <cell r="BW249">
            <v>-9126695.6600000001</v>
          </cell>
          <cell r="BX249">
            <v>-11209888.17</v>
          </cell>
          <cell r="BY249">
            <v>-7691394.9199999999</v>
          </cell>
          <cell r="BZ249">
            <v>-6292690.2400000002</v>
          </cell>
          <cell r="CA249">
            <v>-7963300.1399999997</v>
          </cell>
          <cell r="CB249">
            <v>-6146892.54</v>
          </cell>
          <cell r="CC249">
            <v>-9408201.0199999996</v>
          </cell>
          <cell r="CD249">
            <v>-9734098.5</v>
          </cell>
          <cell r="CE249">
            <v>-5820691.1299999999</v>
          </cell>
          <cell r="CF249">
            <v>-4923531.18</v>
          </cell>
          <cell r="CG249">
            <v>-6633104.0599999996</v>
          </cell>
          <cell r="CH249">
            <v>-5434855.0300000003</v>
          </cell>
          <cell r="CI249">
            <v>-11091173.619999999</v>
          </cell>
          <cell r="CJ249">
            <v>-11845058.42</v>
          </cell>
          <cell r="CK249">
            <v>-9292908.1099999994</v>
          </cell>
          <cell r="CL249">
            <v>-6367035.1100000003</v>
          </cell>
          <cell r="CM249">
            <v>-2369470.5499999998</v>
          </cell>
          <cell r="CN249">
            <v>-12581789.619999999</v>
          </cell>
          <cell r="CO249">
            <v>-9202224.3499999996</v>
          </cell>
          <cell r="CP249">
            <v>-11098348.199999999</v>
          </cell>
          <cell r="CQ249">
            <v>-9581118.0899999999</v>
          </cell>
          <cell r="CR249">
            <v>-6585590.4699999997</v>
          </cell>
          <cell r="CS249">
            <v>-10511772.720000001</v>
          </cell>
          <cell r="CT249">
            <v>-5356707.7699999996</v>
          </cell>
          <cell r="CU249">
            <v>-9150661.0399999991</v>
          </cell>
          <cell r="CV249">
            <v>-13901643.470000001</v>
          </cell>
          <cell r="CW249">
            <v>-9381979.6600000001</v>
          </cell>
          <cell r="CX249">
            <v>-6659943.1699999999</v>
          </cell>
          <cell r="CY249">
            <v>-10790045.119999999</v>
          </cell>
          <cell r="CZ249">
            <v>-8073673.0599999996</v>
          </cell>
          <cell r="DA249">
            <v>-9220343.5700000003</v>
          </cell>
          <cell r="DB249">
            <v>-11894601.300000001</v>
          </cell>
          <cell r="DC249">
            <v>-11454438.380000001</v>
          </cell>
          <cell r="DD249">
            <v>-7452340.54</v>
          </cell>
          <cell r="DE249">
            <v>-10219796.390000001</v>
          </cell>
          <cell r="DF249">
            <v>-7865530.5999999996</v>
          </cell>
          <cell r="DG249">
            <v>-10510908.35</v>
          </cell>
          <cell r="DH249">
            <v>-18235391.120000001</v>
          </cell>
        </row>
        <row r="250">
          <cell r="A250" t="str">
            <v>2340701</v>
          </cell>
          <cell r="B250" t="str">
            <v>2340701</v>
          </cell>
          <cell r="C250" t="str">
            <v>AP Interco Posting</v>
          </cell>
          <cell r="D250">
            <v>-13028.11</v>
          </cell>
          <cell r="E250">
            <v>-179391.48</v>
          </cell>
          <cell r="F250">
            <v>-34753.65</v>
          </cell>
          <cell r="G250">
            <v>-20977.7</v>
          </cell>
          <cell r="H250">
            <v>-133630.1</v>
          </cell>
          <cell r="I250">
            <v>-808060.31</v>
          </cell>
          <cell r="J250">
            <v>-11338.02</v>
          </cell>
          <cell r="K250">
            <v>-90071.69</v>
          </cell>
          <cell r="L250">
            <v>-116783.88</v>
          </cell>
          <cell r="M250">
            <v>-157861.01999999999</v>
          </cell>
          <cell r="N250">
            <v>-117705.89</v>
          </cell>
          <cell r="O250">
            <v>-1098860.79</v>
          </cell>
          <cell r="P250">
            <v>-42654.79</v>
          </cell>
          <cell r="Q250">
            <v>-54877.81</v>
          </cell>
          <cell r="R250">
            <v>-30927.11</v>
          </cell>
          <cell r="S250">
            <v>-34644.82</v>
          </cell>
          <cell r="T250">
            <v>-52359.54</v>
          </cell>
          <cell r="U250">
            <v>-54161.87</v>
          </cell>
          <cell r="V250">
            <v>-17729.830000000002</v>
          </cell>
          <cell r="W250">
            <v>-9388.7999999999993</v>
          </cell>
          <cell r="X250">
            <v>-10996.12</v>
          </cell>
          <cell r="Y250">
            <v>-23482.2</v>
          </cell>
          <cell r="Z250">
            <v>-9457.65</v>
          </cell>
          <cell r="AA250">
            <v>-204687.39</v>
          </cell>
          <cell r="AB250">
            <v>-9388.7999999999993</v>
          </cell>
          <cell r="AC250">
            <v>-26650.799999999999</v>
          </cell>
          <cell r="AD250">
            <v>-11220.74</v>
          </cell>
          <cell r="AE250">
            <v>-10517.2</v>
          </cell>
          <cell r="AF250">
            <v>-9388.7999999999993</v>
          </cell>
          <cell r="AG250">
            <v>-16772.11</v>
          </cell>
          <cell r="AH250">
            <v>-28069.119999999999</v>
          </cell>
          <cell r="AI250">
            <v>-30871.13</v>
          </cell>
          <cell r="AJ250">
            <v>-10521.98</v>
          </cell>
          <cell r="AK250">
            <v>-260682</v>
          </cell>
          <cell r="AL250">
            <v>-175695.6</v>
          </cell>
          <cell r="AM250">
            <v>-16360.9</v>
          </cell>
          <cell r="AN250">
            <v>-61151.08</v>
          </cell>
          <cell r="AO250">
            <v>-17192.03</v>
          </cell>
          <cell r="AP250">
            <v>-10520.04</v>
          </cell>
          <cell r="AQ250">
            <v>-16276.38</v>
          </cell>
          <cell r="AR250">
            <v>-58652.32</v>
          </cell>
          <cell r="AS250">
            <v>-77731.55</v>
          </cell>
          <cell r="AT250">
            <v>-46920.87</v>
          </cell>
          <cell r="AU250">
            <v>-57646.48</v>
          </cell>
          <cell r="AV250">
            <v>-61323.02</v>
          </cell>
          <cell r="AW250">
            <v>-54337.75</v>
          </cell>
          <cell r="AX250">
            <v>-46268.55</v>
          </cell>
          <cell r="AY250">
            <v>-41308.800000000003</v>
          </cell>
          <cell r="AZ250">
            <v>-43389.87</v>
          </cell>
          <cell r="BA250">
            <v>-396496.93</v>
          </cell>
          <cell r="BB250">
            <v>-54037.62</v>
          </cell>
          <cell r="BC250">
            <v>-61553.16</v>
          </cell>
          <cell r="BD250">
            <v>-45637.120000000003</v>
          </cell>
          <cell r="BE250">
            <v>-59954.42</v>
          </cell>
          <cell r="BF250">
            <v>-52424.47</v>
          </cell>
          <cell r="BG250">
            <v>-42372.800000000003</v>
          </cell>
          <cell r="BH250">
            <v>-46893.4</v>
          </cell>
          <cell r="BI250">
            <v>-55528.09</v>
          </cell>
          <cell r="BJ250">
            <v>-50130.23</v>
          </cell>
          <cell r="BK250">
            <v>-70887.899999999994</v>
          </cell>
          <cell r="BL250">
            <v>-68181.87</v>
          </cell>
          <cell r="BM250">
            <v>-65381.98</v>
          </cell>
          <cell r="BN250">
            <v>-40165.4</v>
          </cell>
          <cell r="BO250">
            <v>-85476.54</v>
          </cell>
          <cell r="BP250">
            <v>-41308.800000000003</v>
          </cell>
          <cell r="BQ250">
            <v>-50424.87</v>
          </cell>
          <cell r="BR250">
            <v>-60395.1</v>
          </cell>
          <cell r="BS250">
            <v>-51921.72</v>
          </cell>
          <cell r="BT250">
            <v>-53410.98</v>
          </cell>
          <cell r="BU250">
            <v>-44432.97</v>
          </cell>
          <cell r="BV250">
            <v>-42372.800000000003</v>
          </cell>
          <cell r="BW250">
            <v>-62424.959999999999</v>
          </cell>
          <cell r="BX250">
            <v>-157781.60999999999</v>
          </cell>
          <cell r="BY250">
            <v>-142078.18</v>
          </cell>
          <cell r="BZ250">
            <v>-55196.51</v>
          </cell>
          <cell r="CA250">
            <v>-64300.18</v>
          </cell>
          <cell r="CB250">
            <v>-65047.42</v>
          </cell>
          <cell r="CC250">
            <v>-46550.239999999998</v>
          </cell>
          <cell r="CD250">
            <v>6871.49</v>
          </cell>
          <cell r="CE250">
            <v>-55842.29</v>
          </cell>
          <cell r="CF250">
            <v>-42372.800000000003</v>
          </cell>
          <cell r="CG250">
            <v>-57604.35</v>
          </cell>
          <cell r="CH250">
            <v>-315776.14</v>
          </cell>
          <cell r="CI250">
            <v>-528771.06000000006</v>
          </cell>
          <cell r="CJ250">
            <v>-556783.73</v>
          </cell>
          <cell r="CK250">
            <v>-548242.52</v>
          </cell>
          <cell r="CL250">
            <v>-633298.03</v>
          </cell>
          <cell r="CM250">
            <v>-684276.78</v>
          </cell>
          <cell r="CN250">
            <v>-537348.25</v>
          </cell>
          <cell r="CO250">
            <v>-545600.64</v>
          </cell>
          <cell r="CP250">
            <v>-528303.48</v>
          </cell>
          <cell r="CQ250">
            <v>-545600.64</v>
          </cell>
          <cell r="CR250">
            <v>-559196.87</v>
          </cell>
          <cell r="CS250">
            <v>-586758.59</v>
          </cell>
          <cell r="CT250">
            <v>-643840.38</v>
          </cell>
          <cell r="CU250">
            <v>-528303.48</v>
          </cell>
          <cell r="CV250">
            <v>-545600.64</v>
          </cell>
          <cell r="CW250">
            <v>-568480.88</v>
          </cell>
          <cell r="CX250">
            <v>-493709.17</v>
          </cell>
          <cell r="CY250">
            <v>-545600.64</v>
          </cell>
          <cell r="CZ250">
            <v>-534081.28000000003</v>
          </cell>
          <cell r="DA250">
            <v>-621581.64</v>
          </cell>
          <cell r="DB250">
            <v>-601833.48</v>
          </cell>
          <cell r="DC250">
            <v>-621581.64</v>
          </cell>
          <cell r="DD250">
            <v>-662684.72</v>
          </cell>
          <cell r="DE250">
            <v>-601833.48</v>
          </cell>
          <cell r="DF250">
            <v>-621581.64</v>
          </cell>
          <cell r="DG250">
            <v>-640960.31000000006</v>
          </cell>
          <cell r="DH250">
            <v>-621581.64</v>
          </cell>
        </row>
        <row r="251">
          <cell r="A251" t="str">
            <v>2340710</v>
          </cell>
          <cell r="B251" t="str">
            <v>2340710</v>
          </cell>
          <cell r="C251" t="str">
            <v>AP Emera IC Recon</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-2882304.94</v>
          </cell>
          <cell r="CY251">
            <v>0</v>
          </cell>
          <cell r="CZ251">
            <v>0</v>
          </cell>
          <cell r="DA251">
            <v>0</v>
          </cell>
          <cell r="DB251">
            <v>0</v>
          </cell>
          <cell r="DC251">
            <v>0</v>
          </cell>
          <cell r="DD251">
            <v>0</v>
          </cell>
          <cell r="DE251">
            <v>0</v>
          </cell>
          <cell r="DF251">
            <v>0</v>
          </cell>
          <cell r="DG251">
            <v>0</v>
          </cell>
          <cell r="DH251">
            <v>0</v>
          </cell>
        </row>
        <row r="252">
          <cell r="A252" t="str">
            <v>2340711</v>
          </cell>
          <cell r="B252" t="str">
            <v>2340711</v>
          </cell>
          <cell r="C252" t="str">
            <v>AP Emera IC Posting</v>
          </cell>
          <cell r="AL252">
            <v>0</v>
          </cell>
          <cell r="AM252">
            <v>0</v>
          </cell>
          <cell r="AN252">
            <v>-20663.62</v>
          </cell>
          <cell r="AO252">
            <v>-19729.59</v>
          </cell>
          <cell r="AP252">
            <v>2598.0300000000002</v>
          </cell>
          <cell r="AQ252">
            <v>-27074.3</v>
          </cell>
          <cell r="AR252">
            <v>-17699.900000000001</v>
          </cell>
          <cell r="AS252">
            <v>-24195.49</v>
          </cell>
          <cell r="AT252">
            <v>-17180.82</v>
          </cell>
          <cell r="AU252">
            <v>-357489.58</v>
          </cell>
          <cell r="AV252">
            <v>0</v>
          </cell>
          <cell r="AW252">
            <v>-40987.5</v>
          </cell>
          <cell r="AX252">
            <v>-65331.13</v>
          </cell>
          <cell r="AY252">
            <v>-661015.12</v>
          </cell>
          <cell r="AZ252">
            <v>-751223.67</v>
          </cell>
          <cell r="BA252">
            <v>-756196.77</v>
          </cell>
          <cell r="BB252">
            <v>-929803.77</v>
          </cell>
          <cell r="BC252">
            <v>-711946.43</v>
          </cell>
          <cell r="BD252">
            <v>-1307813.8</v>
          </cell>
          <cell r="BE252">
            <v>-794302.72</v>
          </cell>
          <cell r="BF252">
            <v>-1038433.89</v>
          </cell>
          <cell r="BG252">
            <v>-1994349.66</v>
          </cell>
          <cell r="BH252">
            <v>-1431642.73</v>
          </cell>
          <cell r="BI252">
            <v>-1493365.17</v>
          </cell>
          <cell r="BJ252">
            <v>-1518953.46</v>
          </cell>
          <cell r="BK252">
            <v>-702090.01</v>
          </cell>
          <cell r="BL252">
            <v>-1065214.05</v>
          </cell>
          <cell r="BM252">
            <v>-914038.77</v>
          </cell>
          <cell r="BN252">
            <v>-695255.61</v>
          </cell>
          <cell r="BO252">
            <v>-757044.59</v>
          </cell>
          <cell r="BP252">
            <v>-21921.18</v>
          </cell>
          <cell r="BQ252">
            <v>151188.9</v>
          </cell>
          <cell r="BR252">
            <v>-151572.94</v>
          </cell>
          <cell r="BS252">
            <v>-180406.97</v>
          </cell>
          <cell r="BT252">
            <v>-226531.85</v>
          </cell>
          <cell r="BU252">
            <v>-545141.98</v>
          </cell>
          <cell r="BV252">
            <v>-250907.99</v>
          </cell>
          <cell r="BW252">
            <v>-246640.42</v>
          </cell>
          <cell r="BX252">
            <v>-97630.01</v>
          </cell>
          <cell r="BY252">
            <v>-171783.29</v>
          </cell>
          <cell r="BZ252">
            <v>-191660</v>
          </cell>
          <cell r="CA252">
            <v>-299028.01</v>
          </cell>
          <cell r="CB252">
            <v>-183280.94</v>
          </cell>
          <cell r="CC252">
            <v>-309551.5</v>
          </cell>
          <cell r="CD252">
            <v>-272170.23999999999</v>
          </cell>
          <cell r="CE252">
            <v>-139363.41</v>
          </cell>
          <cell r="CF252">
            <v>-229977.39</v>
          </cell>
          <cell r="CG252">
            <v>-310523.58</v>
          </cell>
          <cell r="CH252">
            <v>-260999.04000000001</v>
          </cell>
          <cell r="CI252">
            <v>-1123433.94</v>
          </cell>
          <cell r="CJ252">
            <v>-1724594.24</v>
          </cell>
          <cell r="CK252">
            <v>-2891004.44</v>
          </cell>
          <cell r="CL252">
            <v>-5170370.75</v>
          </cell>
          <cell r="CM252">
            <v>-2451262.67</v>
          </cell>
          <cell r="CN252">
            <v>-1937354.33</v>
          </cell>
          <cell r="CO252">
            <v>-1872445.48</v>
          </cell>
          <cell r="CP252">
            <v>-1961544.37</v>
          </cell>
          <cell r="CQ252">
            <v>-2163381.9500000002</v>
          </cell>
          <cell r="CR252">
            <v>-3038890.19</v>
          </cell>
          <cell r="CS252">
            <v>-3776477.26</v>
          </cell>
          <cell r="CT252">
            <v>-5253186.83</v>
          </cell>
          <cell r="CU252">
            <v>-4052901.27</v>
          </cell>
          <cell r="CV252">
            <v>-1580283.66</v>
          </cell>
          <cell r="CW252">
            <v>-3827145.96</v>
          </cell>
          <cell r="CX252">
            <v>-3224690.94</v>
          </cell>
          <cell r="CY252">
            <v>-3825613.36</v>
          </cell>
          <cell r="CZ252">
            <v>-2266699.64</v>
          </cell>
          <cell r="DA252">
            <v>-3318360.92</v>
          </cell>
          <cell r="DB252">
            <v>-3231061.88</v>
          </cell>
          <cell r="DC252">
            <v>-3035381.81</v>
          </cell>
          <cell r="DD252">
            <v>-3579154.11</v>
          </cell>
          <cell r="DE252">
            <v>-1039096.93</v>
          </cell>
          <cell r="DF252">
            <v>-713371.46</v>
          </cell>
          <cell r="DG252">
            <v>-3182971.55</v>
          </cell>
          <cell r="DH252">
            <v>-9219323.0800000001</v>
          </cell>
        </row>
        <row r="253">
          <cell r="A253" t="str">
            <v>2340720</v>
          </cell>
          <cell r="B253" t="str">
            <v>2340720</v>
          </cell>
          <cell r="C253" t="str">
            <v>AP IC EmeraSAP Recon</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-4800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row>
        <row r="254">
          <cell r="A254" t="str">
            <v>2340740</v>
          </cell>
          <cell r="B254" t="str">
            <v>2340740</v>
          </cell>
          <cell r="C254" t="str">
            <v>AP IC CRM-OneBill</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row>
        <row r="255">
          <cell r="A255" t="str">
            <v>2340741</v>
          </cell>
          <cell r="B255" t="str">
            <v>2340741</v>
          </cell>
          <cell r="C255" t="str">
            <v>AP IC CRM-TEC</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row>
        <row r="256">
          <cell r="A256" t="str">
            <v>2340743</v>
          </cell>
          <cell r="B256" t="str">
            <v>2340743</v>
          </cell>
          <cell r="C256" t="str">
            <v>AP IC CRM-TPI</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row>
        <row r="257">
          <cell r="A257" t="str">
            <v>2340799</v>
          </cell>
          <cell r="B257" t="str">
            <v>2340799</v>
          </cell>
          <cell r="C257" t="str">
            <v>Trade Payable-Emera Interco Accruals/Reversals</v>
          </cell>
          <cell r="BY257">
            <v>0</v>
          </cell>
          <cell r="BZ257">
            <v>-43661.49</v>
          </cell>
          <cell r="CA257">
            <v>-40996.379999999997</v>
          </cell>
          <cell r="CB257">
            <v>-41722.78</v>
          </cell>
          <cell r="CC257">
            <v>-41928.639999999999</v>
          </cell>
          <cell r="CD257">
            <v>-42872.92</v>
          </cell>
          <cell r="CE257">
            <v>-43742.91</v>
          </cell>
          <cell r="CF257">
            <v>-57924.6</v>
          </cell>
          <cell r="CG257">
            <v>-57201.279999999999</v>
          </cell>
          <cell r="CH257">
            <v>-57441.81</v>
          </cell>
          <cell r="CI257">
            <v>-59005.8</v>
          </cell>
          <cell r="CJ257">
            <v>-59967.87</v>
          </cell>
          <cell r="CK257">
            <v>-42348.21</v>
          </cell>
          <cell r="CL257">
            <v>-42665.34</v>
          </cell>
          <cell r="CM257">
            <v>-45992.86</v>
          </cell>
          <cell r="CN257">
            <v>-47078.55</v>
          </cell>
          <cell r="CO257">
            <v>-47909.19</v>
          </cell>
          <cell r="CP257">
            <v>-46664.51</v>
          </cell>
          <cell r="CQ257">
            <v>-46409.89</v>
          </cell>
          <cell r="CR257">
            <v>-44891.02</v>
          </cell>
          <cell r="CS257">
            <v>-44454.11</v>
          </cell>
          <cell r="CT257">
            <v>-45735.61</v>
          </cell>
          <cell r="CU257">
            <v>-44276.88</v>
          </cell>
          <cell r="CV257">
            <v>-44675.02</v>
          </cell>
          <cell r="CW257">
            <v>-57045.36</v>
          </cell>
          <cell r="CX257">
            <v>-68553.3</v>
          </cell>
          <cell r="CY257">
            <v>-69661.5</v>
          </cell>
          <cell r="CZ257">
            <v>-68049.56</v>
          </cell>
          <cell r="DA257">
            <v>-68824.320000000007</v>
          </cell>
          <cell r="DB257">
            <v>-67553.149999999994</v>
          </cell>
          <cell r="DC257">
            <v>-67879.759999999995</v>
          </cell>
          <cell r="DD257">
            <v>-66393.87</v>
          </cell>
          <cell r="DE257">
            <v>-59513.38</v>
          </cell>
          <cell r="DF257">
            <v>-59766.27</v>
          </cell>
          <cell r="DG257">
            <v>-60390.13</v>
          </cell>
          <cell r="DH257">
            <v>-60229.62</v>
          </cell>
        </row>
        <row r="258">
          <cell r="A258" t="str">
            <v>2350100</v>
          </cell>
          <cell r="B258" t="str">
            <v>2350100</v>
          </cell>
          <cell r="C258" t="str">
            <v>CIS Cust Deposit ST</v>
          </cell>
          <cell r="D258">
            <v>-38252497.020000003</v>
          </cell>
          <cell r="E258">
            <v>-38402663.640000001</v>
          </cell>
          <cell r="F258">
            <v>-38619213.899999999</v>
          </cell>
          <cell r="G258">
            <v>-38751511.399999999</v>
          </cell>
          <cell r="H258">
            <v>-38848172.740000002</v>
          </cell>
          <cell r="I258">
            <v>-39086891.649999999</v>
          </cell>
          <cell r="J258">
            <v>-39301948.060000002</v>
          </cell>
          <cell r="K258">
            <v>-39528824.149999999</v>
          </cell>
          <cell r="L258">
            <v>-39623433.270000003</v>
          </cell>
          <cell r="M258">
            <v>-39834100.380000003</v>
          </cell>
          <cell r="N258">
            <v>-40259363.75</v>
          </cell>
          <cell r="O258">
            <v>-40002890.090000004</v>
          </cell>
          <cell r="P258">
            <v>-39967880.380000003</v>
          </cell>
          <cell r="Q258">
            <v>-40117931.630000003</v>
          </cell>
          <cell r="R258">
            <v>-40137186.770000003</v>
          </cell>
          <cell r="S258">
            <v>-40205466.490000002</v>
          </cell>
          <cell r="T258">
            <v>-40406562.909999996</v>
          </cell>
          <cell r="U258">
            <v>-40629411.25</v>
          </cell>
          <cell r="V258">
            <v>-40700715.420000002</v>
          </cell>
          <cell r="W258">
            <v>-40727665.799999997</v>
          </cell>
          <cell r="X258">
            <v>-40710578.390000001</v>
          </cell>
          <cell r="Y258">
            <v>-40767228.880000003</v>
          </cell>
          <cell r="Z258">
            <v>-40905057.280000001</v>
          </cell>
          <cell r="AA258">
            <v>-41160520.020000003</v>
          </cell>
          <cell r="AB258">
            <v>-41282380.640000001</v>
          </cell>
          <cell r="AC258">
            <v>-39982275.799999997</v>
          </cell>
          <cell r="AD258">
            <v>-38927734.600000001</v>
          </cell>
          <cell r="AE258">
            <v>-38021392.659999996</v>
          </cell>
          <cell r="AF258">
            <v>-37019487.399999999</v>
          </cell>
          <cell r="AG258">
            <v>-35950756.5</v>
          </cell>
          <cell r="AH258">
            <v>-35134623.130000003</v>
          </cell>
          <cell r="AI258">
            <v>-34025425.530000001</v>
          </cell>
          <cell r="AJ258">
            <v>-32991141.539999999</v>
          </cell>
          <cell r="AK258">
            <v>-32106805.510000002</v>
          </cell>
          <cell r="AL258">
            <v>-30795202.239999998</v>
          </cell>
          <cell r="AM258">
            <v>-29695670.870000001</v>
          </cell>
          <cell r="AN258">
            <v>-28077717.68</v>
          </cell>
          <cell r="AO258">
            <v>-27370166.109999999</v>
          </cell>
          <cell r="AP258">
            <v>-26799247.010000002</v>
          </cell>
          <cell r="AQ258">
            <v>-26553223.07</v>
          </cell>
          <cell r="AR258">
            <v>-26544196.93</v>
          </cell>
          <cell r="AS258">
            <v>-26380476.620000001</v>
          </cell>
          <cell r="AT258">
            <v>-26257939.870000001</v>
          </cell>
          <cell r="AU258">
            <v>-26069005.5</v>
          </cell>
          <cell r="AV258">
            <v>-26037874.789999999</v>
          </cell>
          <cell r="AW258">
            <v>-25950195.57</v>
          </cell>
          <cell r="AX258">
            <v>-25955165.579999998</v>
          </cell>
          <cell r="AY258">
            <v>-25789167.710000001</v>
          </cell>
          <cell r="AZ258">
            <v>-25688398.550000001</v>
          </cell>
          <cell r="BA258">
            <v>-25537703.129999999</v>
          </cell>
          <cell r="BB258">
            <v>-25569380.91</v>
          </cell>
          <cell r="BC258">
            <v>-25629339.93</v>
          </cell>
          <cell r="BD258">
            <v>-25705333.899999999</v>
          </cell>
          <cell r="BE258">
            <v>-25790760.98</v>
          </cell>
          <cell r="BF258">
            <v>-25830275.280000001</v>
          </cell>
          <cell r="BG258">
            <v>-25852232.690000001</v>
          </cell>
          <cell r="BH258">
            <v>-25925983.190000001</v>
          </cell>
          <cell r="BI258">
            <v>-25893012.34</v>
          </cell>
          <cell r="BJ258">
            <v>-25992257.5</v>
          </cell>
          <cell r="BK258">
            <v>-25966855.82</v>
          </cell>
          <cell r="BL258">
            <v>-25903685.43</v>
          </cell>
          <cell r="BM258">
            <v>-25867705.32</v>
          </cell>
          <cell r="BN258">
            <v>-25898455.109999999</v>
          </cell>
          <cell r="BO258">
            <v>-25925131.82</v>
          </cell>
          <cell r="BP258">
            <v>-25847349.969999999</v>
          </cell>
          <cell r="BQ258">
            <v>-25870817.390000001</v>
          </cell>
          <cell r="BR258">
            <v>-25868020.23</v>
          </cell>
          <cell r="BS258">
            <v>-25768615.09</v>
          </cell>
          <cell r="BT258">
            <v>-25686969.59</v>
          </cell>
          <cell r="BU258">
            <v>-25634262.850000001</v>
          </cell>
          <cell r="BV258">
            <v>-25695380.539999999</v>
          </cell>
          <cell r="BW258">
            <v>-25691903.879999999</v>
          </cell>
          <cell r="BX258">
            <v>-25704516</v>
          </cell>
          <cell r="BY258">
            <v>-25665571.920000002</v>
          </cell>
          <cell r="BZ258">
            <v>-25728441.66</v>
          </cell>
          <cell r="CA258">
            <v>-25721300.809999999</v>
          </cell>
          <cell r="CB258">
            <v>-25668756</v>
          </cell>
          <cell r="CC258">
            <v>-25569201.969999999</v>
          </cell>
          <cell r="CD258">
            <v>-25464047.059999999</v>
          </cell>
          <cell r="CE258">
            <v>-25456799.27</v>
          </cell>
          <cell r="CF258">
            <v>-25416773.23</v>
          </cell>
          <cell r="CG258">
            <v>-25432972.77</v>
          </cell>
          <cell r="CH258">
            <v>-25393550.68</v>
          </cell>
          <cell r="CI258">
            <v>-25333305.43</v>
          </cell>
          <cell r="CJ258">
            <v>-25075278.079999998</v>
          </cell>
          <cell r="CK258">
            <v>-25241811.829999998</v>
          </cell>
          <cell r="CL258">
            <v>-25273973.25</v>
          </cell>
          <cell r="CM258">
            <v>-25387420.379999999</v>
          </cell>
          <cell r="CN258">
            <v>-25318474.699999999</v>
          </cell>
          <cell r="CO258">
            <v>-25407263.77</v>
          </cell>
          <cell r="CP258">
            <v>-25529439.879999999</v>
          </cell>
          <cell r="CQ258">
            <v>-25706203.600000001</v>
          </cell>
          <cell r="CR258">
            <v>-25782528.359999999</v>
          </cell>
          <cell r="CS258">
            <v>-25962796.670000002</v>
          </cell>
          <cell r="CT258">
            <v>-26074226.34</v>
          </cell>
          <cell r="CU258">
            <v>-26300461.460000001</v>
          </cell>
          <cell r="CV258">
            <v>-26450409.190000001</v>
          </cell>
          <cell r="CW258">
            <v>-26724605.280000001</v>
          </cell>
          <cell r="CX258">
            <v>-26837940.440000001</v>
          </cell>
          <cell r="CY258">
            <v>-27025575.949999999</v>
          </cell>
          <cell r="CZ258">
            <v>-27142982.91</v>
          </cell>
          <cell r="DA258">
            <v>-27369426.920000002</v>
          </cell>
          <cell r="DB258">
            <v>-27734424.100000001</v>
          </cell>
          <cell r="DC258">
            <v>-27952511.77</v>
          </cell>
          <cell r="DD258">
            <v>-28170521.449999999</v>
          </cell>
          <cell r="DE258">
            <v>-28457241.420000002</v>
          </cell>
          <cell r="DF258">
            <v>-28627534.52</v>
          </cell>
          <cell r="DG258">
            <v>-28840164.27</v>
          </cell>
          <cell r="DH258">
            <v>-29144419.059999999</v>
          </cell>
        </row>
        <row r="259">
          <cell r="A259" t="str">
            <v>2350110</v>
          </cell>
          <cell r="B259" t="str">
            <v>2350110</v>
          </cell>
          <cell r="C259" t="str">
            <v>Non-CIS Cust Dep ST</v>
          </cell>
          <cell r="D259">
            <v>-709932</v>
          </cell>
          <cell r="E259">
            <v>-709932</v>
          </cell>
          <cell r="F259">
            <v>-709932</v>
          </cell>
          <cell r="G259">
            <v>-709932</v>
          </cell>
          <cell r="H259">
            <v>-734932</v>
          </cell>
          <cell r="I259">
            <v>-734932</v>
          </cell>
          <cell r="J259">
            <v>-734932</v>
          </cell>
          <cell r="K259">
            <v>-734932</v>
          </cell>
          <cell r="L259">
            <v>-709932</v>
          </cell>
          <cell r="M259">
            <v>-709932</v>
          </cell>
          <cell r="N259">
            <v>-709932</v>
          </cell>
          <cell r="O259">
            <v>-709932</v>
          </cell>
          <cell r="P259">
            <v>-709932</v>
          </cell>
          <cell r="Q259">
            <v>-709932</v>
          </cell>
          <cell r="R259">
            <v>-682932</v>
          </cell>
          <cell r="S259">
            <v>-682932</v>
          </cell>
          <cell r="T259">
            <v>-682932</v>
          </cell>
          <cell r="U259">
            <v>-682932</v>
          </cell>
          <cell r="V259">
            <v>-682932</v>
          </cell>
          <cell r="W259">
            <v>-682932</v>
          </cell>
          <cell r="X259">
            <v>-682932</v>
          </cell>
          <cell r="Y259">
            <v>-682932</v>
          </cell>
          <cell r="Z259">
            <v>-682932</v>
          </cell>
          <cell r="AA259">
            <v>-682932</v>
          </cell>
          <cell r="AB259">
            <v>-682932</v>
          </cell>
          <cell r="AC259">
            <v>-682932</v>
          </cell>
          <cell r="AD259">
            <v>-682932</v>
          </cell>
          <cell r="AE259">
            <v>-857932</v>
          </cell>
          <cell r="AF259">
            <v>-826000</v>
          </cell>
          <cell r="AG259">
            <v>-826000</v>
          </cell>
          <cell r="AH259">
            <v>-826000</v>
          </cell>
          <cell r="AI259">
            <v>-826000</v>
          </cell>
          <cell r="AJ259">
            <v>-826000</v>
          </cell>
          <cell r="AK259">
            <v>-826000</v>
          </cell>
          <cell r="AL259">
            <v>-826000</v>
          </cell>
          <cell r="AM259">
            <v>-826000</v>
          </cell>
          <cell r="AN259">
            <v>-826000</v>
          </cell>
          <cell r="AO259">
            <v>-826000</v>
          </cell>
          <cell r="AP259">
            <v>-826000</v>
          </cell>
          <cell r="AQ259">
            <v>-826000</v>
          </cell>
          <cell r="AR259">
            <v>-826000</v>
          </cell>
          <cell r="AS259">
            <v>-826000</v>
          </cell>
          <cell r="AT259">
            <v>-826000</v>
          </cell>
          <cell r="AU259">
            <v>-826000</v>
          </cell>
          <cell r="AV259">
            <v>-826000</v>
          </cell>
          <cell r="AW259">
            <v>-826000</v>
          </cell>
          <cell r="AX259">
            <v>-826000</v>
          </cell>
          <cell r="AY259">
            <v>-826000</v>
          </cell>
          <cell r="AZ259">
            <v>-826000</v>
          </cell>
          <cell r="BA259">
            <v>-826000</v>
          </cell>
          <cell r="BB259">
            <v>-826000</v>
          </cell>
          <cell r="BC259">
            <v>-826000</v>
          </cell>
          <cell r="BD259">
            <v>-826000</v>
          </cell>
          <cell r="BE259">
            <v>-826000</v>
          </cell>
          <cell r="BF259">
            <v>-836000</v>
          </cell>
          <cell r="BG259">
            <v>-836000</v>
          </cell>
          <cell r="BH259">
            <v>-661000</v>
          </cell>
          <cell r="BI259">
            <v>-661000</v>
          </cell>
          <cell r="BJ259">
            <v>-511000</v>
          </cell>
          <cell r="BK259">
            <v>-511000</v>
          </cell>
          <cell r="BL259">
            <v>-511000</v>
          </cell>
          <cell r="BM259">
            <v>-511000</v>
          </cell>
          <cell r="BN259">
            <v>-511000</v>
          </cell>
          <cell r="BO259">
            <v>-511000</v>
          </cell>
          <cell r="BP259">
            <v>-521000</v>
          </cell>
          <cell r="BQ259">
            <v>-521000</v>
          </cell>
          <cell r="BR259">
            <v>-521000</v>
          </cell>
          <cell r="BS259">
            <v>-605000</v>
          </cell>
          <cell r="BT259">
            <v>-595000</v>
          </cell>
          <cell r="BU259">
            <v>-569000</v>
          </cell>
          <cell r="BV259">
            <v>-569000</v>
          </cell>
          <cell r="BW259">
            <v>-569000</v>
          </cell>
          <cell r="BX259">
            <v>-569000</v>
          </cell>
          <cell r="BY259">
            <v>-569000</v>
          </cell>
          <cell r="BZ259">
            <v>-594000</v>
          </cell>
          <cell r="CA259">
            <v>-594000</v>
          </cell>
          <cell r="CB259">
            <v>-594000</v>
          </cell>
          <cell r="CC259">
            <v>-594000</v>
          </cell>
          <cell r="CD259">
            <v>-594000</v>
          </cell>
          <cell r="CE259">
            <v>-594000</v>
          </cell>
          <cell r="CF259">
            <v>-594000</v>
          </cell>
          <cell r="CG259">
            <v>-594000</v>
          </cell>
          <cell r="CH259">
            <v>-594000</v>
          </cell>
          <cell r="CI259">
            <v>-594000</v>
          </cell>
          <cell r="CJ259">
            <v>-594000</v>
          </cell>
          <cell r="CK259">
            <v>-594000</v>
          </cell>
          <cell r="CL259">
            <v>-589000</v>
          </cell>
          <cell r="CM259">
            <v>-589000</v>
          </cell>
          <cell r="CN259">
            <v>-589000</v>
          </cell>
          <cell r="CO259">
            <v>-589000</v>
          </cell>
          <cell r="CP259">
            <v>-589000</v>
          </cell>
          <cell r="CQ259">
            <v>-579000</v>
          </cell>
          <cell r="CR259">
            <v>-579000</v>
          </cell>
          <cell r="CS259">
            <v>-579000</v>
          </cell>
          <cell r="CT259">
            <v>-604000</v>
          </cell>
          <cell r="CU259">
            <v>-604000</v>
          </cell>
          <cell r="CV259">
            <v>-604000</v>
          </cell>
          <cell r="CW259">
            <v>-604000</v>
          </cell>
          <cell r="CX259">
            <v>-604000</v>
          </cell>
          <cell r="CY259">
            <v>-604000</v>
          </cell>
          <cell r="CZ259">
            <v>-604000</v>
          </cell>
          <cell r="DA259">
            <v>-614000</v>
          </cell>
          <cell r="DB259">
            <v>-614000</v>
          </cell>
          <cell r="DC259">
            <v>-614000</v>
          </cell>
          <cell r="DD259">
            <v>-614000</v>
          </cell>
          <cell r="DE259">
            <v>-614000</v>
          </cell>
          <cell r="DF259">
            <v>-614000</v>
          </cell>
          <cell r="DG259">
            <v>-614000</v>
          </cell>
          <cell r="DH259">
            <v>-715000</v>
          </cell>
        </row>
        <row r="260">
          <cell r="A260" t="str">
            <v>2360310</v>
          </cell>
          <cell r="B260" t="str">
            <v>2360310</v>
          </cell>
          <cell r="C260" t="str">
            <v>FIT Pay Current Year</v>
          </cell>
          <cell r="D260">
            <v>0</v>
          </cell>
          <cell r="E260">
            <v>-1110183.55</v>
          </cell>
          <cell r="F260">
            <v>-3706913.86</v>
          </cell>
          <cell r="G260">
            <v>-7388510.1200000001</v>
          </cell>
          <cell r="H260">
            <v>-1479412.37</v>
          </cell>
          <cell r="I260">
            <v>-2772719.08</v>
          </cell>
          <cell r="J260">
            <v>3645817.99</v>
          </cell>
          <cell r="K260">
            <v>3086268.68</v>
          </cell>
          <cell r="L260">
            <v>2750860.55</v>
          </cell>
          <cell r="M260">
            <v>6100180.6799999997</v>
          </cell>
          <cell r="N260">
            <v>1846062.79</v>
          </cell>
          <cell r="O260">
            <v>2837202.01</v>
          </cell>
          <cell r="P260">
            <v>0</v>
          </cell>
          <cell r="Q260">
            <v>6614599.8899999997</v>
          </cell>
          <cell r="R260">
            <v>5261753.8899999997</v>
          </cell>
          <cell r="S260">
            <v>-6877231.6100000003</v>
          </cell>
          <cell r="T260">
            <v>-1049179.23</v>
          </cell>
          <cell r="U260">
            <v>-1968867.86</v>
          </cell>
          <cell r="V260">
            <v>3525612.03</v>
          </cell>
          <cell r="W260">
            <v>2499473.4500000002</v>
          </cell>
          <cell r="X260">
            <v>1457670.24</v>
          </cell>
          <cell r="Y260">
            <v>3433829.26</v>
          </cell>
          <cell r="Z260">
            <v>3882410.39</v>
          </cell>
          <cell r="AA260">
            <v>4023952.89</v>
          </cell>
          <cell r="AB260">
            <v>0</v>
          </cell>
          <cell r="AC260">
            <v>11617731.970000001</v>
          </cell>
          <cell r="AD260">
            <v>9112301.5800000001</v>
          </cell>
          <cell r="AE260">
            <v>-5307226.3899999997</v>
          </cell>
          <cell r="AF260">
            <v>-464969.98</v>
          </cell>
          <cell r="AG260">
            <v>-620742.56999999995</v>
          </cell>
          <cell r="AH260">
            <v>4724907.4000000004</v>
          </cell>
          <cell r="AI260">
            <v>4443250.5199999996</v>
          </cell>
          <cell r="AJ260">
            <v>5106456.78</v>
          </cell>
          <cell r="AK260">
            <v>-947492.86</v>
          </cell>
          <cell r="AL260">
            <v>887842.89</v>
          </cell>
          <cell r="AM260">
            <v>1050067.68</v>
          </cell>
          <cell r="AN260">
            <v>0</v>
          </cell>
          <cell r="AO260">
            <v>-878357.64</v>
          </cell>
          <cell r="AP260">
            <v>-403265.16</v>
          </cell>
          <cell r="AQ260">
            <v>-371936.58</v>
          </cell>
          <cell r="AR260">
            <v>-1353085.71</v>
          </cell>
          <cell r="AS260">
            <v>-708337.96</v>
          </cell>
          <cell r="AT260">
            <v>-264959.49</v>
          </cell>
          <cell r="AU260">
            <v>550006.63</v>
          </cell>
          <cell r="AV260">
            <v>1403560.08</v>
          </cell>
          <cell r="AW260">
            <v>-144712.87</v>
          </cell>
          <cell r="AX260">
            <v>1552954.08</v>
          </cell>
          <cell r="AY260">
            <v>2400276.9500000002</v>
          </cell>
          <cell r="AZ260">
            <v>-5619344.96</v>
          </cell>
          <cell r="BA260">
            <v>-8233065.7999999998</v>
          </cell>
          <cell r="BB260">
            <v>-8631714.4600000009</v>
          </cell>
          <cell r="BC260">
            <v>-9374716.8599999994</v>
          </cell>
          <cell r="BD260">
            <v>-3285299.34</v>
          </cell>
          <cell r="BE260">
            <v>-3572138.62</v>
          </cell>
          <cell r="BF260">
            <v>-2103898.56</v>
          </cell>
          <cell r="BG260">
            <v>-2364270.87</v>
          </cell>
          <cell r="BH260">
            <v>-1486668.81</v>
          </cell>
          <cell r="BI260">
            <v>-895643.03</v>
          </cell>
          <cell r="BJ260">
            <v>-698418.17</v>
          </cell>
          <cell r="BK260">
            <v>2564355.4700000002</v>
          </cell>
          <cell r="BL260">
            <v>-2694511.42</v>
          </cell>
          <cell r="BM260">
            <v>-4340058.5</v>
          </cell>
          <cell r="BN260">
            <v>-4410157.84</v>
          </cell>
          <cell r="BO260">
            <v>-5406410.0199999996</v>
          </cell>
          <cell r="BP260">
            <v>-2393103.0299999998</v>
          </cell>
          <cell r="BQ260">
            <v>-2759917.3</v>
          </cell>
          <cell r="BR260">
            <v>-1890385.42</v>
          </cell>
          <cell r="BS260">
            <v>-2033453.12</v>
          </cell>
          <cell r="BT260">
            <v>-2184379.35</v>
          </cell>
          <cell r="BU260">
            <v>-647212.17000000004</v>
          </cell>
          <cell r="BV260">
            <v>-887011.51</v>
          </cell>
          <cell r="BW260">
            <v>-1425569.49</v>
          </cell>
          <cell r="BX260">
            <v>0.02</v>
          </cell>
          <cell r="BY260">
            <v>-2636855.1800000002</v>
          </cell>
          <cell r="BZ260">
            <v>-1074950.6299999999</v>
          </cell>
          <cell r="CA260">
            <v>-1462030.64</v>
          </cell>
          <cell r="CB260">
            <v>-1896973.05</v>
          </cell>
          <cell r="CC260">
            <v>-1722510.25</v>
          </cell>
          <cell r="CD260">
            <v>-2040092.88</v>
          </cell>
          <cell r="CE260">
            <v>-1777498.83</v>
          </cell>
          <cell r="CF260">
            <v>-1779840.27</v>
          </cell>
          <cell r="CG260">
            <v>-1909281.73</v>
          </cell>
          <cell r="CH260">
            <v>-662957.1</v>
          </cell>
          <cell r="CI260">
            <v>-1678529.58</v>
          </cell>
          <cell r="CJ260">
            <v>-1378790.59</v>
          </cell>
          <cell r="CK260">
            <v>-3775020.35</v>
          </cell>
          <cell r="CL260">
            <v>-4785526.5199999996</v>
          </cell>
          <cell r="CM260">
            <v>-4369963.25</v>
          </cell>
          <cell r="CN260">
            <v>-2589963.37</v>
          </cell>
          <cell r="CO260">
            <v>-2168497.0299999998</v>
          </cell>
          <cell r="CP260">
            <v>-2181282.89</v>
          </cell>
          <cell r="CQ260">
            <v>-1987306.55</v>
          </cell>
          <cell r="CR260">
            <v>-2581529.0699999998</v>
          </cell>
          <cell r="CS260">
            <v>198105.56</v>
          </cell>
          <cell r="CT260">
            <v>1522712.26</v>
          </cell>
          <cell r="CU260">
            <v>2860455.51</v>
          </cell>
          <cell r="CV260">
            <v>0</v>
          </cell>
          <cell r="CW260">
            <v>889667</v>
          </cell>
          <cell r="CX260">
            <v>-1862733.14</v>
          </cell>
          <cell r="CY260">
            <v>-2061155.97</v>
          </cell>
          <cell r="CZ260">
            <v>-4475493.72</v>
          </cell>
          <cell r="DA260">
            <v>-4885737.03</v>
          </cell>
          <cell r="DB260">
            <v>-3478036.29</v>
          </cell>
          <cell r="DC260">
            <v>-3370717.37</v>
          </cell>
          <cell r="DD260">
            <v>-728840.5</v>
          </cell>
          <cell r="DE260">
            <v>-1271630.27</v>
          </cell>
          <cell r="DF260">
            <v>-851335.46</v>
          </cell>
          <cell r="DG260">
            <v>-912854.82</v>
          </cell>
          <cell r="DH260">
            <v>-271946.99</v>
          </cell>
        </row>
        <row r="261">
          <cell r="A261" t="str">
            <v>2360320</v>
          </cell>
          <cell r="B261" t="str">
            <v>2360320</v>
          </cell>
          <cell r="C261" t="str">
            <v>FIT Pay Prior Year</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row>
        <row r="262">
          <cell r="A262" t="str">
            <v>2360410</v>
          </cell>
          <cell r="B262" t="str">
            <v>2360410</v>
          </cell>
          <cell r="C262" t="str">
            <v>SIT Pay Curent Year</v>
          </cell>
          <cell r="D262">
            <v>0</v>
          </cell>
          <cell r="E262">
            <v>-192098.44</v>
          </cell>
          <cell r="F262">
            <v>-527557.49</v>
          </cell>
          <cell r="G262">
            <v>-883061.66</v>
          </cell>
          <cell r="H262">
            <v>-712009.79</v>
          </cell>
          <cell r="I262">
            <v>-830724.18</v>
          </cell>
          <cell r="J262">
            <v>-430684.47</v>
          </cell>
          <cell r="K262">
            <v>-427383.26</v>
          </cell>
          <cell r="L262">
            <v>-386809.91</v>
          </cell>
          <cell r="M262">
            <v>38331.29</v>
          </cell>
          <cell r="N262">
            <v>-176641.52</v>
          </cell>
          <cell r="O262">
            <v>225892.94</v>
          </cell>
          <cell r="P262">
            <v>0</v>
          </cell>
          <cell r="Q262">
            <v>-105519.42</v>
          </cell>
          <cell r="R262">
            <v>-235495.25</v>
          </cell>
          <cell r="S262">
            <v>-544030.99</v>
          </cell>
          <cell r="T262">
            <v>-642040.01</v>
          </cell>
          <cell r="U262">
            <v>-699986.64</v>
          </cell>
          <cell r="V262">
            <v>-568332.17000000004</v>
          </cell>
          <cell r="W262">
            <v>-643980.23</v>
          </cell>
          <cell r="X262">
            <v>-722233.13</v>
          </cell>
          <cell r="Y262">
            <v>-339899.3</v>
          </cell>
          <cell r="Z262">
            <v>-9647.0300000000007</v>
          </cell>
          <cell r="AA262">
            <v>107228.18</v>
          </cell>
          <cell r="AB262">
            <v>0</v>
          </cell>
          <cell r="AC262">
            <v>-119035.83</v>
          </cell>
          <cell r="AD262">
            <v>-556440.64</v>
          </cell>
          <cell r="AE262">
            <v>-728948.08</v>
          </cell>
          <cell r="AF262">
            <v>-684939.06</v>
          </cell>
          <cell r="AG262">
            <v>-731622.24</v>
          </cell>
          <cell r="AH262">
            <v>-612275.47</v>
          </cell>
          <cell r="AI262">
            <v>-679891.79</v>
          </cell>
          <cell r="AJ262">
            <v>-570536.6</v>
          </cell>
          <cell r="AK262">
            <v>53531.31</v>
          </cell>
          <cell r="AL262">
            <v>170215.89</v>
          </cell>
          <cell r="AM262">
            <v>196263.5</v>
          </cell>
          <cell r="AN262">
            <v>-33203.11</v>
          </cell>
          <cell r="AO262">
            <v>-339962.02</v>
          </cell>
          <cell r="AP262">
            <v>-261355.56</v>
          </cell>
          <cell r="AQ262">
            <v>-404529.3</v>
          </cell>
          <cell r="AR262">
            <v>-274727.09000000003</v>
          </cell>
          <cell r="AS262">
            <v>-146893.91</v>
          </cell>
          <cell r="AT262">
            <v>-218483.43</v>
          </cell>
          <cell r="AU262">
            <v>-118620.09</v>
          </cell>
          <cell r="AV262">
            <v>-12340.13</v>
          </cell>
          <cell r="AW262">
            <v>-39183.08</v>
          </cell>
          <cell r="AX262">
            <v>207463.46</v>
          </cell>
          <cell r="AY262">
            <v>312707.36</v>
          </cell>
          <cell r="AZ262">
            <v>-298546.95</v>
          </cell>
          <cell r="BA262">
            <v>-904711.08</v>
          </cell>
          <cell r="BB262">
            <v>-896972.61</v>
          </cell>
          <cell r="BC262">
            <v>-976451.08</v>
          </cell>
          <cell r="BD262">
            <v>-789549.85</v>
          </cell>
          <cell r="BE262">
            <v>-748083.65</v>
          </cell>
          <cell r="BF262">
            <v>-583090.03</v>
          </cell>
          <cell r="BG262">
            <v>-534288.56000000006</v>
          </cell>
          <cell r="BH262">
            <v>-573746.12</v>
          </cell>
          <cell r="BI262">
            <v>-248224.8</v>
          </cell>
          <cell r="BJ262">
            <v>-123057.03</v>
          </cell>
          <cell r="BK262">
            <v>-34960.53</v>
          </cell>
          <cell r="BL262">
            <v>0</v>
          </cell>
          <cell r="BM262">
            <v>-15731.67</v>
          </cell>
          <cell r="BN262">
            <v>98644.35</v>
          </cell>
          <cell r="BO262">
            <v>-29203.08</v>
          </cell>
          <cell r="BP262">
            <v>-514979.27</v>
          </cell>
          <cell r="BQ262">
            <v>-468379.32</v>
          </cell>
          <cell r="BR262">
            <v>-523914.07</v>
          </cell>
          <cell r="BS262">
            <v>-415303.23</v>
          </cell>
          <cell r="BT262">
            <v>-308870.39</v>
          </cell>
          <cell r="BU262">
            <v>-50182.54</v>
          </cell>
          <cell r="BV262">
            <v>15398.47</v>
          </cell>
          <cell r="BW262">
            <v>14598.01</v>
          </cell>
          <cell r="BX262">
            <v>-0.01</v>
          </cell>
          <cell r="BY262">
            <v>-487659.85</v>
          </cell>
          <cell r="BZ262">
            <v>-42376.3</v>
          </cell>
          <cell r="CA262">
            <v>-30158.05</v>
          </cell>
          <cell r="CB262">
            <v>-323251.46999999997</v>
          </cell>
          <cell r="CC262">
            <v>-186263.46</v>
          </cell>
          <cell r="CD262">
            <v>-453280.63</v>
          </cell>
          <cell r="CE262">
            <v>-296710.65999999997</v>
          </cell>
          <cell r="CF262">
            <v>-264914.92</v>
          </cell>
          <cell r="CG262">
            <v>-430994.61</v>
          </cell>
          <cell r="CH262">
            <v>-43811.5</v>
          </cell>
          <cell r="CI262">
            <v>-175164.58</v>
          </cell>
          <cell r="CJ262">
            <v>-158390.94</v>
          </cell>
          <cell r="CK262">
            <v>-609320.35</v>
          </cell>
          <cell r="CL262">
            <v>-752354.46</v>
          </cell>
          <cell r="CM262">
            <v>-578528.80000000005</v>
          </cell>
          <cell r="CN262">
            <v>-478463.51</v>
          </cell>
          <cell r="CO262">
            <v>-318838.24</v>
          </cell>
          <cell r="CP262">
            <v>-484661.62</v>
          </cell>
          <cell r="CQ262">
            <v>-360070.57</v>
          </cell>
          <cell r="CR262">
            <v>-410610.2</v>
          </cell>
          <cell r="CS262">
            <v>224118.31</v>
          </cell>
          <cell r="CT262">
            <v>519265.53</v>
          </cell>
          <cell r="CU262">
            <v>816705.09</v>
          </cell>
          <cell r="CV262">
            <v>0</v>
          </cell>
          <cell r="CW262">
            <v>226096.86</v>
          </cell>
          <cell r="CX262">
            <v>-472143.76</v>
          </cell>
          <cell r="CY262">
            <v>-462554.88</v>
          </cell>
          <cell r="CZ262">
            <v>-1175792.95</v>
          </cell>
          <cell r="DA262">
            <v>-1224909.73</v>
          </cell>
          <cell r="DB262">
            <v>-963931.06</v>
          </cell>
          <cell r="DC262">
            <v>-869606.55</v>
          </cell>
          <cell r="DD262">
            <v>-85662.35</v>
          </cell>
          <cell r="DE262">
            <v>-353352.48</v>
          </cell>
          <cell r="DF262">
            <v>-174576.73</v>
          </cell>
          <cell r="DG262">
            <v>-129475.67</v>
          </cell>
          <cell r="DH262">
            <v>-67269.84</v>
          </cell>
        </row>
        <row r="263">
          <cell r="A263" t="str">
            <v>2360420</v>
          </cell>
          <cell r="B263" t="str">
            <v>2360420</v>
          </cell>
          <cell r="C263" t="str">
            <v>SIT Pay Prior Year</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row>
        <row r="264">
          <cell r="A264" t="str">
            <v>2360600</v>
          </cell>
          <cell r="B264" t="str">
            <v>2360600</v>
          </cell>
          <cell r="C264" t="str">
            <v>TaxPay Unemploy Fed</v>
          </cell>
          <cell r="D264">
            <v>16641.47</v>
          </cell>
          <cell r="E264">
            <v>-5057.97</v>
          </cell>
          <cell r="F264">
            <v>-6062.13</v>
          </cell>
          <cell r="G264">
            <v>-6237.03</v>
          </cell>
          <cell r="H264">
            <v>17045.919999999998</v>
          </cell>
          <cell r="I264">
            <v>16949.18</v>
          </cell>
          <cell r="J264">
            <v>16887.900000000001</v>
          </cell>
          <cell r="K264">
            <v>17042.64</v>
          </cell>
          <cell r="L264">
            <v>16841.689999999999</v>
          </cell>
          <cell r="M264">
            <v>16618.310000000001</v>
          </cell>
          <cell r="N264">
            <v>16906.18</v>
          </cell>
          <cell r="O264">
            <v>16780.73</v>
          </cell>
          <cell r="P264">
            <v>16730.759999999998</v>
          </cell>
          <cell r="Q264">
            <v>3510.81</v>
          </cell>
          <cell r="R264">
            <v>-5160.33</v>
          </cell>
          <cell r="S264">
            <v>-5412.59</v>
          </cell>
          <cell r="T264">
            <v>16955.919999999998</v>
          </cell>
          <cell r="U264">
            <v>16821.22</v>
          </cell>
          <cell r="V264">
            <v>16754.259999999998</v>
          </cell>
          <cell r="W264">
            <v>17123.080000000002</v>
          </cell>
          <cell r="X264">
            <v>16999.439999999999</v>
          </cell>
          <cell r="Y264">
            <v>16908.740000000002</v>
          </cell>
          <cell r="Z264">
            <v>16842.22</v>
          </cell>
          <cell r="AA264">
            <v>16455.46</v>
          </cell>
          <cell r="AB264">
            <v>16035.62</v>
          </cell>
          <cell r="AC264">
            <v>2392.11</v>
          </cell>
          <cell r="AD264">
            <v>-5230.0600000000004</v>
          </cell>
          <cell r="AE264">
            <v>-5532.06</v>
          </cell>
          <cell r="AF264">
            <v>17053.7</v>
          </cell>
          <cell r="AG264">
            <v>16932.72</v>
          </cell>
          <cell r="AH264">
            <v>16836.14</v>
          </cell>
          <cell r="AI264">
            <v>16957.97</v>
          </cell>
          <cell r="AJ264">
            <v>16653.88</v>
          </cell>
          <cell r="AK264">
            <v>16311.75</v>
          </cell>
          <cell r="AL264">
            <v>16986.86</v>
          </cell>
          <cell r="AM264">
            <v>16861.439999999999</v>
          </cell>
          <cell r="AN264">
            <v>16758.52</v>
          </cell>
          <cell r="AO264">
            <v>920.31</v>
          </cell>
          <cell r="AP264">
            <v>-5706.87</v>
          </cell>
          <cell r="AQ264">
            <v>-6005.97</v>
          </cell>
          <cell r="AR264">
            <v>17093.86</v>
          </cell>
          <cell r="AS264">
            <v>16941.27</v>
          </cell>
          <cell r="AT264">
            <v>16693.849999999999</v>
          </cell>
          <cell r="AU264">
            <v>16890.43</v>
          </cell>
          <cell r="AV264">
            <v>16436.689999999999</v>
          </cell>
          <cell r="AW264">
            <v>16273.77</v>
          </cell>
          <cell r="AX264">
            <v>17052.29</v>
          </cell>
          <cell r="AY264">
            <v>16993.3</v>
          </cell>
          <cell r="AZ264">
            <v>16894.46</v>
          </cell>
          <cell r="BA264">
            <v>735.18</v>
          </cell>
          <cell r="BB264">
            <v>-6042.23</v>
          </cell>
          <cell r="BC264">
            <v>-6475.35</v>
          </cell>
          <cell r="BD264">
            <v>16828.47</v>
          </cell>
          <cell r="BE264">
            <v>16527.060000000001</v>
          </cell>
          <cell r="BF264">
            <v>16330.18</v>
          </cell>
          <cell r="BG264">
            <v>17013.53</v>
          </cell>
          <cell r="BH264">
            <v>16529.32</v>
          </cell>
          <cell r="BI264">
            <v>16261.51</v>
          </cell>
          <cell r="BJ264">
            <v>17006.419999999998</v>
          </cell>
          <cell r="BK264">
            <v>16787.439999999999</v>
          </cell>
          <cell r="BL264">
            <v>-586.20000000000005</v>
          </cell>
          <cell r="BM264">
            <v>-22306.36</v>
          </cell>
          <cell r="BN264">
            <v>-24316.57</v>
          </cell>
          <cell r="BO264">
            <v>-24437.66</v>
          </cell>
          <cell r="BP264">
            <v>-61.4</v>
          </cell>
          <cell r="BQ264">
            <v>-250.56</v>
          </cell>
          <cell r="BR264">
            <v>-522.13</v>
          </cell>
          <cell r="BS264">
            <v>-308.14</v>
          </cell>
          <cell r="BT264">
            <v>-647.05999999999995</v>
          </cell>
          <cell r="BU264">
            <v>-1021.75</v>
          </cell>
          <cell r="BV264">
            <v>-323.35000000000002</v>
          </cell>
          <cell r="BW264">
            <v>-553.41999999999996</v>
          </cell>
          <cell r="BX264">
            <v>-700.88</v>
          </cell>
          <cell r="BY264">
            <v>-23527.27</v>
          </cell>
          <cell r="BZ264">
            <v>-25934.49</v>
          </cell>
          <cell r="CA264">
            <v>-26093.65</v>
          </cell>
          <cell r="CB264">
            <v>-205.27</v>
          </cell>
          <cell r="CC264">
            <v>-427.94</v>
          </cell>
          <cell r="CD264">
            <v>-619.95000000000005</v>
          </cell>
          <cell r="CE264">
            <v>-179.27</v>
          </cell>
          <cell r="CF264">
            <v>-326.45</v>
          </cell>
          <cell r="CG264">
            <v>-396.8</v>
          </cell>
          <cell r="CH264">
            <v>-125.17</v>
          </cell>
          <cell r="CI264">
            <v>-268.24</v>
          </cell>
          <cell r="CJ264">
            <v>-412.74</v>
          </cell>
          <cell r="CK264">
            <v>-20037.98</v>
          </cell>
          <cell r="CL264">
            <v>-25788.73</v>
          </cell>
          <cell r="CM264">
            <v>-26543.21</v>
          </cell>
          <cell r="CN264">
            <v>-264.89</v>
          </cell>
          <cell r="CO264">
            <v>-451.18</v>
          </cell>
          <cell r="CP264">
            <v>-629.63</v>
          </cell>
          <cell r="CQ264">
            <v>-542.23</v>
          </cell>
          <cell r="CR264">
            <v>-917.41</v>
          </cell>
          <cell r="CS264">
            <v>-1265.73</v>
          </cell>
          <cell r="CT264">
            <v>-80.849999999999994</v>
          </cell>
          <cell r="CU264">
            <v>-301.12</v>
          </cell>
          <cell r="CV264">
            <v>-812.13</v>
          </cell>
          <cell r="CW264">
            <v>-20809.099999999999</v>
          </cell>
          <cell r="CX264">
            <v>-26308.34</v>
          </cell>
          <cell r="CY264">
            <v>-27455.75</v>
          </cell>
          <cell r="CZ264">
            <v>-27906.68</v>
          </cell>
          <cell r="DA264">
            <v>-1068.3499999999999</v>
          </cell>
          <cell r="DB264">
            <v>-2383.37</v>
          </cell>
          <cell r="DC264">
            <v>-3063.99</v>
          </cell>
          <cell r="DD264">
            <v>-1009.7</v>
          </cell>
          <cell r="DE264">
            <v>-1334.76</v>
          </cell>
          <cell r="DF264">
            <v>-1531.98</v>
          </cell>
          <cell r="DG264">
            <v>-1889.6</v>
          </cell>
          <cell r="DH264">
            <v>-2573.42</v>
          </cell>
        </row>
        <row r="265">
          <cell r="A265" t="str">
            <v>2360601</v>
          </cell>
          <cell r="B265" t="str">
            <v>2360601</v>
          </cell>
          <cell r="C265" t="str">
            <v>TaxPay Unemploy Stat</v>
          </cell>
          <cell r="D265">
            <v>21861.62</v>
          </cell>
          <cell r="E265">
            <v>-41166.449999999997</v>
          </cell>
          <cell r="F265">
            <v>-46524.1</v>
          </cell>
          <cell r="G265">
            <v>-47451.37</v>
          </cell>
          <cell r="H265">
            <v>25061.54</v>
          </cell>
          <cell r="I265">
            <v>24728.66</v>
          </cell>
          <cell r="J265">
            <v>24532.51</v>
          </cell>
          <cell r="K265">
            <v>25075.96</v>
          </cell>
          <cell r="L265">
            <v>24489.59</v>
          </cell>
          <cell r="M265">
            <v>23825.78</v>
          </cell>
          <cell r="N265">
            <v>24636.19</v>
          </cell>
          <cell r="O265">
            <v>24156.97</v>
          </cell>
          <cell r="P265">
            <v>23976.21</v>
          </cell>
          <cell r="Q265">
            <v>5626.35</v>
          </cell>
          <cell r="R265">
            <v>-6946.65</v>
          </cell>
          <cell r="S265">
            <v>-7312.4</v>
          </cell>
          <cell r="T265">
            <v>25121.88</v>
          </cell>
          <cell r="U265">
            <v>24926.560000000001</v>
          </cell>
          <cell r="V265">
            <v>24829.48</v>
          </cell>
          <cell r="W265">
            <v>25364.31</v>
          </cell>
          <cell r="X265">
            <v>25185.02</v>
          </cell>
          <cell r="Y265">
            <v>25053.51</v>
          </cell>
          <cell r="Z265">
            <v>24957.01</v>
          </cell>
          <cell r="AA265">
            <v>24396.31</v>
          </cell>
          <cell r="AB265">
            <v>23787.51</v>
          </cell>
          <cell r="AC265">
            <v>13104.3</v>
          </cell>
          <cell r="AD265">
            <v>6752.56</v>
          </cell>
          <cell r="AE265">
            <v>6500.85</v>
          </cell>
          <cell r="AF265">
            <v>25322.37</v>
          </cell>
          <cell r="AG265">
            <v>25186.53</v>
          </cell>
          <cell r="AH265">
            <v>25106.03</v>
          </cell>
          <cell r="AI265">
            <v>25209.360000000001</v>
          </cell>
          <cell r="AJ265">
            <v>24933.5</v>
          </cell>
          <cell r="AK265">
            <v>24599.07</v>
          </cell>
          <cell r="AL265">
            <v>25266.67</v>
          </cell>
          <cell r="AM265">
            <v>25162.15</v>
          </cell>
          <cell r="AN265">
            <v>25076.400000000001</v>
          </cell>
          <cell r="AO265">
            <v>16205.6</v>
          </cell>
          <cell r="AP265">
            <v>12450.07</v>
          </cell>
          <cell r="AQ265">
            <v>12280.6</v>
          </cell>
          <cell r="AR265">
            <v>25370.58</v>
          </cell>
          <cell r="AS265">
            <v>25284.1</v>
          </cell>
          <cell r="AT265">
            <v>25143.88</v>
          </cell>
          <cell r="AU265">
            <v>25255.31</v>
          </cell>
          <cell r="AV265">
            <v>24998.17</v>
          </cell>
          <cell r="AW265">
            <v>24905.9</v>
          </cell>
          <cell r="AX265">
            <v>25347.03</v>
          </cell>
          <cell r="AY265">
            <v>25313.59</v>
          </cell>
          <cell r="AZ265">
            <v>25257.59</v>
          </cell>
          <cell r="BA265">
            <v>20497.830000000002</v>
          </cell>
          <cell r="BB265">
            <v>18238.740000000002</v>
          </cell>
          <cell r="BC265">
            <v>18080.39</v>
          </cell>
          <cell r="BD265">
            <v>25862.28</v>
          </cell>
          <cell r="BE265">
            <v>25748.28</v>
          </cell>
          <cell r="BF265">
            <v>25682.2</v>
          </cell>
          <cell r="BG265">
            <v>25923.99</v>
          </cell>
          <cell r="BH265">
            <v>25758.28</v>
          </cell>
          <cell r="BI265">
            <v>25661.45</v>
          </cell>
          <cell r="BJ265">
            <v>25919.49</v>
          </cell>
          <cell r="BK265">
            <v>25846.49</v>
          </cell>
          <cell r="BL265">
            <v>-197.54</v>
          </cell>
          <cell r="BM265">
            <v>-3647.46</v>
          </cell>
          <cell r="BN265">
            <v>-3982.53</v>
          </cell>
          <cell r="BO265">
            <v>-4002.71</v>
          </cell>
          <cell r="BP265">
            <v>-4013.01</v>
          </cell>
          <cell r="BQ265">
            <v>-41.82</v>
          </cell>
          <cell r="BR265">
            <v>-94.11</v>
          </cell>
          <cell r="BS265">
            <v>-51.42</v>
          </cell>
          <cell r="BT265">
            <v>-107.94</v>
          </cell>
          <cell r="BU265">
            <v>-177.36</v>
          </cell>
          <cell r="BV265">
            <v>-53.95</v>
          </cell>
          <cell r="BW265">
            <v>-97.92</v>
          </cell>
          <cell r="BX265">
            <v>-123.88</v>
          </cell>
          <cell r="BY265">
            <v>-3921.36</v>
          </cell>
          <cell r="BZ265">
            <v>-4322.4799999999996</v>
          </cell>
          <cell r="CA265">
            <v>-4349</v>
          </cell>
          <cell r="CB265">
            <v>-34.28</v>
          </cell>
          <cell r="CC265">
            <v>-71.400000000000006</v>
          </cell>
          <cell r="CD265">
            <v>-103.39</v>
          </cell>
          <cell r="CE265">
            <v>-31.18</v>
          </cell>
          <cell r="CF265">
            <v>-55.7</v>
          </cell>
          <cell r="CG265">
            <v>-67.42</v>
          </cell>
          <cell r="CH265">
            <v>-19.670000000000002</v>
          </cell>
          <cell r="CI265">
            <v>-43.51</v>
          </cell>
          <cell r="CJ265">
            <v>-67.599999999999994</v>
          </cell>
          <cell r="CK265">
            <v>-3407.32</v>
          </cell>
          <cell r="CL265">
            <v>-4365.8100000000004</v>
          </cell>
          <cell r="CM265">
            <v>-4491.5200000000004</v>
          </cell>
          <cell r="CN265">
            <v>18911.02</v>
          </cell>
          <cell r="CO265">
            <v>18881.84</v>
          </cell>
          <cell r="CP265">
            <v>18917.830000000002</v>
          </cell>
          <cell r="CQ265">
            <v>18932.41</v>
          </cell>
          <cell r="CR265">
            <v>18869.89</v>
          </cell>
          <cell r="CS265">
            <v>18809.39</v>
          </cell>
          <cell r="CT265">
            <v>19004.79</v>
          </cell>
          <cell r="CU265">
            <v>18968.080000000002</v>
          </cell>
          <cell r="CV265">
            <v>18889.91</v>
          </cell>
          <cell r="CW265">
            <v>15556.6</v>
          </cell>
          <cell r="CX265">
            <v>14639.29</v>
          </cell>
          <cell r="CY265">
            <v>-4574.78</v>
          </cell>
          <cell r="CZ265">
            <v>-4966.9399999999996</v>
          </cell>
          <cell r="DA265">
            <v>-496.86</v>
          </cell>
          <cell r="DB265">
            <v>-947.83</v>
          </cell>
          <cell r="DC265">
            <v>-1238.96</v>
          </cell>
          <cell r="DD265">
            <v>-1401.14</v>
          </cell>
          <cell r="DE265">
            <v>-1455.35</v>
          </cell>
          <cell r="DF265">
            <v>-1488.26</v>
          </cell>
          <cell r="DG265">
            <v>-1547.85</v>
          </cell>
          <cell r="DH265">
            <v>-1580.82</v>
          </cell>
        </row>
        <row r="266">
          <cell r="A266" t="str">
            <v>2360602</v>
          </cell>
          <cell r="B266" t="str">
            <v>2360602</v>
          </cell>
          <cell r="C266" t="str">
            <v>Tax Pay Reg Ases Fee</v>
          </cell>
          <cell r="D266">
            <v>-721648.5</v>
          </cell>
          <cell r="E266">
            <v>-187387.4</v>
          </cell>
          <cell r="F266">
            <v>-385662.47</v>
          </cell>
          <cell r="G266">
            <v>-555124.03</v>
          </cell>
          <cell r="H266">
            <v>-707354.26</v>
          </cell>
          <cell r="I266">
            <v>-845345.35</v>
          </cell>
          <cell r="J266">
            <v>-972919.57</v>
          </cell>
          <cell r="K266">
            <v>-122237.82</v>
          </cell>
          <cell r="L266">
            <v>-238036.81</v>
          </cell>
          <cell r="M266">
            <v>-388238.66</v>
          </cell>
          <cell r="N266">
            <v>-479349.61</v>
          </cell>
          <cell r="O266">
            <v>-610817.92000000004</v>
          </cell>
          <cell r="P266">
            <v>-818114.5</v>
          </cell>
          <cell r="Q266">
            <v>-190817.65</v>
          </cell>
          <cell r="R266">
            <v>-383840.8</v>
          </cell>
          <cell r="S266">
            <v>-568952.53</v>
          </cell>
          <cell r="T266">
            <v>-713426.91</v>
          </cell>
          <cell r="U266">
            <v>-862750.49</v>
          </cell>
          <cell r="V266">
            <v>-998742.47</v>
          </cell>
          <cell r="W266">
            <v>-134146.22</v>
          </cell>
          <cell r="X266">
            <v>-260195.99</v>
          </cell>
          <cell r="Y266">
            <v>-398822.53</v>
          </cell>
          <cell r="Z266">
            <v>-535135.18999999994</v>
          </cell>
          <cell r="AA266">
            <v>-677768.49</v>
          </cell>
          <cell r="AB266">
            <v>-849060.78</v>
          </cell>
          <cell r="AC266">
            <v>-185432.72</v>
          </cell>
          <cell r="AD266">
            <v>-390046.19</v>
          </cell>
          <cell r="AE266">
            <v>-569381.18000000005</v>
          </cell>
          <cell r="AF266">
            <v>-729248.16</v>
          </cell>
          <cell r="AG266">
            <v>-877010.23</v>
          </cell>
          <cell r="AH266">
            <v>-1036712.79</v>
          </cell>
          <cell r="AI266">
            <v>-151671.82999999999</v>
          </cell>
          <cell r="AJ266">
            <v>-309806.67</v>
          </cell>
          <cell r="AK266">
            <v>-463372.67</v>
          </cell>
          <cell r="AL266">
            <v>-615389.24</v>
          </cell>
          <cell r="AM266">
            <v>-768129.53</v>
          </cell>
          <cell r="AN266">
            <v>-923034.72</v>
          </cell>
          <cell r="AO266">
            <v>-172262.79</v>
          </cell>
          <cell r="AP266">
            <v>-342440.01</v>
          </cell>
          <cell r="AQ266">
            <v>-502231.51</v>
          </cell>
          <cell r="AR266">
            <v>-659248.22</v>
          </cell>
          <cell r="AS266">
            <v>-810397.09</v>
          </cell>
          <cell r="AT266">
            <v>-952731.69</v>
          </cell>
          <cell r="AU266">
            <v>-129607.17</v>
          </cell>
          <cell r="AV266">
            <v>-264773.65000000002</v>
          </cell>
          <cell r="AW266">
            <v>-407317.69</v>
          </cell>
          <cell r="AX266">
            <v>-542452.24</v>
          </cell>
          <cell r="AY266">
            <v>-695300.68</v>
          </cell>
          <cell r="AZ266">
            <v>-874491.67</v>
          </cell>
          <cell r="BA266">
            <v>-233756.65</v>
          </cell>
          <cell r="BB266">
            <v>-452145.4</v>
          </cell>
          <cell r="BC266">
            <v>-628485.1</v>
          </cell>
          <cell r="BD266">
            <v>-809597.92</v>
          </cell>
          <cell r="BE266">
            <v>-967336.34</v>
          </cell>
          <cell r="BF266">
            <v>-1121957.03</v>
          </cell>
          <cell r="BG266">
            <v>-144741.45000000001</v>
          </cell>
          <cell r="BH266">
            <v>-299375.05</v>
          </cell>
          <cell r="BI266">
            <v>-454471.69</v>
          </cell>
          <cell r="BJ266">
            <v>-598924.02</v>
          </cell>
          <cell r="BK266">
            <v>-754972.7</v>
          </cell>
          <cell r="BL266">
            <v>-941893.71</v>
          </cell>
          <cell r="BM266">
            <v>-202820.11</v>
          </cell>
          <cell r="BN266">
            <v>-405955.14</v>
          </cell>
          <cell r="BO266">
            <v>-587737.07999999996</v>
          </cell>
          <cell r="BP266">
            <v>-762154.47</v>
          </cell>
          <cell r="BQ266">
            <v>-925528.91</v>
          </cell>
          <cell r="BR266">
            <v>-1076585.99</v>
          </cell>
          <cell r="BS266">
            <v>-159909.14000000001</v>
          </cell>
          <cell r="BT266">
            <v>-298051.46999999997</v>
          </cell>
          <cell r="BU266">
            <v>-440754.38</v>
          </cell>
          <cell r="BV266">
            <v>-588309.66</v>
          </cell>
          <cell r="BW266">
            <v>-736629.84</v>
          </cell>
          <cell r="BX266">
            <v>-922462.83</v>
          </cell>
          <cell r="BY266">
            <v>-187881.22</v>
          </cell>
          <cell r="BZ266">
            <v>-386420.07</v>
          </cell>
          <cell r="CA266">
            <v>-573793.69999999995</v>
          </cell>
          <cell r="CB266">
            <v>-730001.98</v>
          </cell>
          <cell r="CC266">
            <v>-877345.32</v>
          </cell>
          <cell r="CD266">
            <v>-1021172.59</v>
          </cell>
          <cell r="CE266">
            <v>-140173.04</v>
          </cell>
          <cell r="CF266">
            <v>-279855.51</v>
          </cell>
          <cell r="CG266">
            <v>-412594.88</v>
          </cell>
          <cell r="CH266">
            <v>-554218.4</v>
          </cell>
          <cell r="CI266">
            <v>-709842.64</v>
          </cell>
          <cell r="CJ266">
            <v>-897798.37</v>
          </cell>
          <cell r="CK266">
            <v>-258757.94</v>
          </cell>
          <cell r="CL266">
            <v>-502664.4</v>
          </cell>
          <cell r="CM266">
            <v>-721609.9</v>
          </cell>
          <cell r="CN266">
            <v>-943489.57</v>
          </cell>
          <cell r="CO266">
            <v>-1137727.82</v>
          </cell>
          <cell r="CP266">
            <v>-1325083.23</v>
          </cell>
          <cell r="CQ266">
            <v>-172029.04</v>
          </cell>
          <cell r="CR266">
            <v>-340414.19</v>
          </cell>
          <cell r="CS266">
            <v>-516921.02</v>
          </cell>
          <cell r="CT266">
            <v>-692317.57</v>
          </cell>
          <cell r="CU266">
            <v>-905306.75</v>
          </cell>
          <cell r="CV266">
            <v>-1139096.8</v>
          </cell>
          <cell r="CW266">
            <v>-268956.3</v>
          </cell>
          <cell r="CX266">
            <v>-570187.15</v>
          </cell>
          <cell r="CY266">
            <v>-837681.83</v>
          </cell>
          <cell r="CZ266">
            <v>-1089797.6200000001</v>
          </cell>
          <cell r="DA266">
            <v>-1329453.47</v>
          </cell>
          <cell r="DB266">
            <v>-1565277.64</v>
          </cell>
          <cell r="DC266">
            <v>-215736.59</v>
          </cell>
          <cell r="DD266">
            <v>-465286.6</v>
          </cell>
          <cell r="DE266">
            <v>-710533.04</v>
          </cell>
          <cell r="DF266">
            <v>-961241.48</v>
          </cell>
          <cell r="DG266">
            <v>-1180682.94</v>
          </cell>
          <cell r="DH266">
            <v>-1427394.46</v>
          </cell>
        </row>
        <row r="267">
          <cell r="A267" t="str">
            <v>2360603</v>
          </cell>
          <cell r="B267" t="str">
            <v>2360603</v>
          </cell>
          <cell r="C267" t="str">
            <v>Tax Pay GRT</v>
          </cell>
          <cell r="D267">
            <v>-1117813.5900000001</v>
          </cell>
          <cell r="E267">
            <v>-1458285.71</v>
          </cell>
          <cell r="F267">
            <v>-1414425.21</v>
          </cell>
          <cell r="G267">
            <v>-1280176.4099999999</v>
          </cell>
          <cell r="H267">
            <v>-1136727.3</v>
          </cell>
          <cell r="I267">
            <v>-968603.23</v>
          </cell>
          <cell r="J267">
            <v>-872884.06</v>
          </cell>
          <cell r="K267">
            <v>-806695.85</v>
          </cell>
          <cell r="L267">
            <v>-819459.45</v>
          </cell>
          <cell r="M267">
            <v>-873094.94</v>
          </cell>
          <cell r="N267">
            <v>-901268.02</v>
          </cell>
          <cell r="O267">
            <v>-1015256.38</v>
          </cell>
          <cell r="P267">
            <v>-1290296.31</v>
          </cell>
          <cell r="Q267">
            <v>-1434957.27</v>
          </cell>
          <cell r="R267">
            <v>-1478817.46</v>
          </cell>
          <cell r="S267">
            <v>-1448485.15</v>
          </cell>
          <cell r="T267">
            <v>-1141927.06</v>
          </cell>
          <cell r="U267">
            <v>-933099.24</v>
          </cell>
          <cell r="V267">
            <v>-948532.98</v>
          </cell>
          <cell r="W267">
            <v>-924040.72</v>
          </cell>
          <cell r="X267">
            <v>-947995.45</v>
          </cell>
          <cell r="Y267">
            <v>-904825.98</v>
          </cell>
          <cell r="Z267">
            <v>-945821.14</v>
          </cell>
          <cell r="AA267">
            <v>-1029383.21</v>
          </cell>
          <cell r="AB267">
            <v>-1200091.6599999999</v>
          </cell>
          <cell r="AC267">
            <v>-1491372.24</v>
          </cell>
          <cell r="AD267">
            <v>-1608653.05</v>
          </cell>
          <cell r="AE267">
            <v>-1422325.79</v>
          </cell>
          <cell r="AF267">
            <v>-1121634.52</v>
          </cell>
          <cell r="AG267">
            <v>-1106026.03</v>
          </cell>
          <cell r="AH267">
            <v>-962399.51</v>
          </cell>
          <cell r="AI267">
            <v>-927160.99</v>
          </cell>
          <cell r="AJ267">
            <v>-816814.25</v>
          </cell>
          <cell r="AK267">
            <v>-910367.11</v>
          </cell>
          <cell r="AL267">
            <v>-892185.01</v>
          </cell>
          <cell r="AM267">
            <v>-1051513.43</v>
          </cell>
          <cell r="AN267">
            <v>-1247836.74</v>
          </cell>
          <cell r="AO267">
            <v>-1421653.55</v>
          </cell>
          <cell r="AP267">
            <v>-1324602.05</v>
          </cell>
          <cell r="AQ267">
            <v>-1298064.1200000001</v>
          </cell>
          <cell r="AR267">
            <v>-1249194.8400000001</v>
          </cell>
          <cell r="AS267">
            <v>-1077161.9099999999</v>
          </cell>
          <cell r="AT267">
            <v>-949099.08</v>
          </cell>
          <cell r="AU267">
            <v>-776245.84</v>
          </cell>
          <cell r="AV267">
            <v>-875004.59</v>
          </cell>
          <cell r="AW267">
            <v>-875395.73</v>
          </cell>
          <cell r="AX267">
            <v>-936251.45</v>
          </cell>
          <cell r="AY267">
            <v>-1049937.8400000001</v>
          </cell>
          <cell r="AZ267">
            <v>-1278413.8400000001</v>
          </cell>
          <cell r="BA267">
            <v>-1748087.86</v>
          </cell>
          <cell r="BB267">
            <v>-1508987.86</v>
          </cell>
          <cell r="BC267">
            <v>-1277608.48</v>
          </cell>
          <cell r="BD267">
            <v>-1337389.19</v>
          </cell>
          <cell r="BE267">
            <v>-1076048.68</v>
          </cell>
          <cell r="BF267">
            <v>-1033662.19</v>
          </cell>
          <cell r="BG267">
            <v>-894234.75</v>
          </cell>
          <cell r="BH267">
            <v>-837829.54</v>
          </cell>
          <cell r="BI267">
            <v>-986490.61</v>
          </cell>
          <cell r="BJ267">
            <v>-891540.29</v>
          </cell>
          <cell r="BK267">
            <v>-1009116.81</v>
          </cell>
          <cell r="BL267">
            <v>-1392204.59</v>
          </cell>
          <cell r="BM267">
            <v>-1655787.55</v>
          </cell>
          <cell r="BN267">
            <v>-1640421.41</v>
          </cell>
          <cell r="BO267">
            <v>-1424624.07</v>
          </cell>
          <cell r="BP267">
            <v>-1125549.97</v>
          </cell>
          <cell r="BQ267">
            <v>-1177922.3799999999</v>
          </cell>
          <cell r="BR267">
            <v>-1016378.54</v>
          </cell>
          <cell r="BS267">
            <v>-984361.68</v>
          </cell>
          <cell r="BT267">
            <v>-932359.53</v>
          </cell>
          <cell r="BU267">
            <v>-949375.97</v>
          </cell>
          <cell r="BV267">
            <v>-936155.2</v>
          </cell>
          <cell r="BW267">
            <v>-1112587.07</v>
          </cell>
          <cell r="BX267">
            <v>-1504303.85</v>
          </cell>
          <cell r="BY267">
            <v>-1618178.97</v>
          </cell>
          <cell r="BZ267">
            <v>-1572436.88</v>
          </cell>
          <cell r="CA267">
            <v>-1352878.21</v>
          </cell>
          <cell r="CB267">
            <v>-1062025.6200000001</v>
          </cell>
          <cell r="CC267">
            <v>-953525.89</v>
          </cell>
          <cell r="CD267">
            <v>-967309.63</v>
          </cell>
          <cell r="CE267">
            <v>-851851.75</v>
          </cell>
          <cell r="CF267">
            <v>-911904.78</v>
          </cell>
          <cell r="CG267">
            <v>-870947.67</v>
          </cell>
          <cell r="CH267">
            <v>-954992.39</v>
          </cell>
          <cell r="CI267">
            <v>-1095394.1499999999</v>
          </cell>
          <cell r="CJ267">
            <v>-1396326.38</v>
          </cell>
          <cell r="CK267">
            <v>-1837558.54</v>
          </cell>
          <cell r="CL267">
            <v>-1655338.08</v>
          </cell>
          <cell r="CM267">
            <v>-1457150.65</v>
          </cell>
          <cell r="CN267">
            <v>-1426996.58</v>
          </cell>
          <cell r="CO267">
            <v>-1201056.29</v>
          </cell>
          <cell r="CP267">
            <v>-1108542.6499999999</v>
          </cell>
          <cell r="CQ267">
            <v>-1134501.22</v>
          </cell>
          <cell r="CR267">
            <v>-1011208.09</v>
          </cell>
          <cell r="CS267">
            <v>-1071922.69</v>
          </cell>
          <cell r="CT267">
            <v>-1072270.76</v>
          </cell>
          <cell r="CU267">
            <v>-1236232.4099999999</v>
          </cell>
          <cell r="CV267">
            <v>-1610219.3</v>
          </cell>
          <cell r="CW267">
            <v>-1747412.92</v>
          </cell>
          <cell r="CX267">
            <v>-1727920.15</v>
          </cell>
          <cell r="CY267">
            <v>-1638802.23</v>
          </cell>
          <cell r="CZ267">
            <v>-1466977.23</v>
          </cell>
          <cell r="DA267">
            <v>-1329404.5900000001</v>
          </cell>
          <cell r="DB267">
            <v>-1171609.3500000001</v>
          </cell>
          <cell r="DC267">
            <v>-1070368.31</v>
          </cell>
          <cell r="DD267">
            <v>-1017536.8</v>
          </cell>
          <cell r="DE267">
            <v>-1080019.73</v>
          </cell>
          <cell r="DF267">
            <v>-1183729.3700000001</v>
          </cell>
          <cell r="DG267">
            <v>-1255346.49</v>
          </cell>
          <cell r="DH267">
            <v>-1563688.22</v>
          </cell>
        </row>
        <row r="268">
          <cell r="A268" t="str">
            <v>2360604</v>
          </cell>
          <cell r="B268" t="str">
            <v>2360604</v>
          </cell>
          <cell r="C268" t="str">
            <v>Tax Pay Property</v>
          </cell>
          <cell r="D268">
            <v>0</v>
          </cell>
          <cell r="E268">
            <v>-809000</v>
          </cell>
          <cell r="F268">
            <v>-1618000</v>
          </cell>
          <cell r="G268">
            <v>-2427000</v>
          </cell>
          <cell r="H268">
            <v>-3236000</v>
          </cell>
          <cell r="I268">
            <v>-4045000</v>
          </cell>
          <cell r="J268">
            <v>-4854000</v>
          </cell>
          <cell r="K268">
            <v>-5663000</v>
          </cell>
          <cell r="L268">
            <v>-6134000</v>
          </cell>
          <cell r="M268">
            <v>-6900977</v>
          </cell>
          <cell r="N268">
            <v>-7667954</v>
          </cell>
          <cell r="O268">
            <v>798830.29</v>
          </cell>
          <cell r="P268">
            <v>0</v>
          </cell>
          <cell r="Q268">
            <v>-814808.95</v>
          </cell>
          <cell r="R268">
            <v>-1633808.95</v>
          </cell>
          <cell r="S268">
            <v>-2452808.9500000002</v>
          </cell>
          <cell r="T268">
            <v>-3271808.95</v>
          </cell>
          <cell r="U268">
            <v>-4090808.95</v>
          </cell>
          <cell r="V268">
            <v>-4909808.95</v>
          </cell>
          <cell r="W268">
            <v>-5728808.9500000002</v>
          </cell>
          <cell r="X268">
            <v>-6195809.2999999998</v>
          </cell>
          <cell r="Y268">
            <v>-6970809.2999999998</v>
          </cell>
          <cell r="Z268">
            <v>-7745809.2999999998</v>
          </cell>
          <cell r="AA268">
            <v>718761.98</v>
          </cell>
          <cell r="AB268">
            <v>0</v>
          </cell>
          <cell r="AC268">
            <v>-809000</v>
          </cell>
          <cell r="AD268">
            <v>-1618000</v>
          </cell>
          <cell r="AE268">
            <v>-2427000</v>
          </cell>
          <cell r="AF268">
            <v>-3236000</v>
          </cell>
          <cell r="AG268">
            <v>-4045000</v>
          </cell>
          <cell r="AH268">
            <v>-4854000</v>
          </cell>
          <cell r="AI268">
            <v>-5663000</v>
          </cell>
          <cell r="AJ268">
            <v>-6472000</v>
          </cell>
          <cell r="AK268">
            <v>-7281000</v>
          </cell>
          <cell r="AL268">
            <v>-8090000</v>
          </cell>
          <cell r="AM268">
            <v>771779.1</v>
          </cell>
          <cell r="AN268">
            <v>0</v>
          </cell>
          <cell r="AO268">
            <v>0</v>
          </cell>
          <cell r="AP268">
            <v>-1752000</v>
          </cell>
          <cell r="AQ268">
            <v>-2628000</v>
          </cell>
          <cell r="AR268">
            <v>-3502911.53</v>
          </cell>
          <cell r="AS268">
            <v>-4128911.53</v>
          </cell>
          <cell r="AT268">
            <v>-4954911.53</v>
          </cell>
          <cell r="AU268">
            <v>-5780911.5300000003</v>
          </cell>
          <cell r="AV268">
            <v>-6465577.9299999997</v>
          </cell>
          <cell r="AW268">
            <v>-7273911.2300000004</v>
          </cell>
          <cell r="AX268">
            <v>-8082244.5300000003</v>
          </cell>
          <cell r="AY268">
            <v>781613.01</v>
          </cell>
          <cell r="AZ268">
            <v>0</v>
          </cell>
          <cell r="BA268">
            <v>-943820</v>
          </cell>
          <cell r="BB268">
            <v>-1887640</v>
          </cell>
          <cell r="BC268">
            <v>-2831460</v>
          </cell>
          <cell r="BD268">
            <v>-3775280</v>
          </cell>
          <cell r="BE268">
            <v>-4719100</v>
          </cell>
          <cell r="BF268">
            <v>-5662920</v>
          </cell>
          <cell r="BG268">
            <v>-6606740</v>
          </cell>
          <cell r="BH268">
            <v>-7550560</v>
          </cell>
          <cell r="BI268">
            <v>-8494380</v>
          </cell>
          <cell r="BJ268">
            <v>-9438200</v>
          </cell>
          <cell r="BK268">
            <v>896399.7</v>
          </cell>
          <cell r="BL268">
            <v>0</v>
          </cell>
          <cell r="BM268">
            <v>-1063964</v>
          </cell>
          <cell r="BN268">
            <v>-2127928</v>
          </cell>
          <cell r="BO268">
            <v>-3191892</v>
          </cell>
          <cell r="BP268">
            <v>-4255856</v>
          </cell>
          <cell r="BQ268">
            <v>-5319691.38</v>
          </cell>
          <cell r="BR268">
            <v>-6383655.3799999999</v>
          </cell>
          <cell r="BS268">
            <v>-7447619.3799999999</v>
          </cell>
          <cell r="BT268">
            <v>-7999871.3799999999</v>
          </cell>
          <cell r="BU268">
            <v>-8999871.3800000008</v>
          </cell>
          <cell r="BV268">
            <v>-9999871.3800000008</v>
          </cell>
          <cell r="BW268">
            <v>908137.66</v>
          </cell>
          <cell r="BX268">
            <v>0</v>
          </cell>
          <cell r="BY268">
            <v>-1159498</v>
          </cell>
          <cell r="BZ268">
            <v>-2318996</v>
          </cell>
          <cell r="CA268">
            <v>-3478494</v>
          </cell>
          <cell r="CB268">
            <v>-4637992</v>
          </cell>
          <cell r="CC268">
            <v>-5797490</v>
          </cell>
          <cell r="CD268">
            <v>-6956988</v>
          </cell>
          <cell r="CE268">
            <v>-8116486</v>
          </cell>
          <cell r="CF268">
            <v>-9275984</v>
          </cell>
          <cell r="CG268">
            <v>-10435482</v>
          </cell>
          <cell r="CH268">
            <v>-11594980</v>
          </cell>
          <cell r="CI268">
            <v>662910.98</v>
          </cell>
          <cell r="CJ268">
            <v>0</v>
          </cell>
          <cell r="CK268">
            <v>-1232571.23</v>
          </cell>
          <cell r="CL268">
            <v>-2465142.46</v>
          </cell>
          <cell r="CM268">
            <v>-3697713.69</v>
          </cell>
          <cell r="CN268">
            <v>-4930284.92</v>
          </cell>
          <cell r="CO268">
            <v>-6162856.1500000004</v>
          </cell>
          <cell r="CP268">
            <v>-7395427.3799999999</v>
          </cell>
          <cell r="CQ268">
            <v>-8627998.6099999994</v>
          </cell>
          <cell r="CR268">
            <v>-9860569.8399999999</v>
          </cell>
          <cell r="CS268">
            <v>-10425000.57</v>
          </cell>
          <cell r="CT268">
            <v>-11583333.970000001</v>
          </cell>
          <cell r="CU268">
            <v>1029673.84</v>
          </cell>
          <cell r="CV268">
            <v>0</v>
          </cell>
          <cell r="CW268">
            <v>-1468499.19</v>
          </cell>
          <cell r="CX268">
            <v>-2936998.38</v>
          </cell>
          <cell r="CY268">
            <v>-4405497.57</v>
          </cell>
          <cell r="CZ268">
            <v>-5989598.5599999996</v>
          </cell>
          <cell r="DA268">
            <v>-7515898.6500000004</v>
          </cell>
          <cell r="DB268">
            <v>-9042198.7400000002</v>
          </cell>
          <cell r="DC268">
            <v>-10568498.83</v>
          </cell>
          <cell r="DD268">
            <v>-12094798.92</v>
          </cell>
          <cell r="DE268">
            <v>-12937500</v>
          </cell>
          <cell r="DF268">
            <v>-14375000</v>
          </cell>
          <cell r="DG268">
            <v>1405402.11</v>
          </cell>
          <cell r="DH268">
            <v>0</v>
          </cell>
        </row>
        <row r="269">
          <cell r="A269" t="str">
            <v>2360605</v>
          </cell>
          <cell r="B269" t="str">
            <v>2360605</v>
          </cell>
          <cell r="C269" t="str">
            <v>Tax Pay Franchise</v>
          </cell>
          <cell r="D269">
            <v>-863405.82</v>
          </cell>
          <cell r="E269">
            <v>-1141232.71</v>
          </cell>
          <cell r="F269">
            <v>-1119000.81</v>
          </cell>
          <cell r="G269">
            <v>-953106.13</v>
          </cell>
          <cell r="H269">
            <v>-847748.59</v>
          </cell>
          <cell r="I269">
            <v>-688160.65</v>
          </cell>
          <cell r="J269">
            <v>-790706.12</v>
          </cell>
          <cell r="K269">
            <v>-790589.82</v>
          </cell>
          <cell r="L269">
            <v>-754426.47</v>
          </cell>
          <cell r="M269">
            <v>-823177.74</v>
          </cell>
          <cell r="N269">
            <v>-847822.07</v>
          </cell>
          <cell r="O269">
            <v>-891960.35</v>
          </cell>
          <cell r="P269">
            <v>-971099.37</v>
          </cell>
          <cell r="Q269">
            <v>-1116242.81</v>
          </cell>
          <cell r="R269">
            <v>-1072360.3600000001</v>
          </cell>
          <cell r="S269">
            <v>-1054711.94</v>
          </cell>
          <cell r="T269">
            <v>-917726.06</v>
          </cell>
          <cell r="U269">
            <v>-815328.8</v>
          </cell>
          <cell r="V269">
            <v>-865597.62</v>
          </cell>
          <cell r="W269">
            <v>-798484.94</v>
          </cell>
          <cell r="X269">
            <v>-854282.69</v>
          </cell>
          <cell r="Y269">
            <v>-861806.45</v>
          </cell>
          <cell r="Z269">
            <v>-884223.84</v>
          </cell>
          <cell r="AA269">
            <v>-933510.2</v>
          </cell>
          <cell r="AB269">
            <v>-917625.04</v>
          </cell>
          <cell r="AC269">
            <v>-1107651.19</v>
          </cell>
          <cell r="AD269">
            <v>-1204912.68</v>
          </cell>
          <cell r="AE269">
            <v>-1119239.07</v>
          </cell>
          <cell r="AF269">
            <v>-1059898.01</v>
          </cell>
          <cell r="AG269">
            <v>-915365.05</v>
          </cell>
          <cell r="AH269">
            <v>-885400.56</v>
          </cell>
          <cell r="AI269">
            <v>-828806.12</v>
          </cell>
          <cell r="AJ269">
            <v>-822895.42</v>
          </cell>
          <cell r="AK269">
            <v>-844050.2</v>
          </cell>
          <cell r="AL269">
            <v>-861399.19</v>
          </cell>
          <cell r="AM269">
            <v>-922255.26</v>
          </cell>
          <cell r="AN269">
            <v>-924161.82</v>
          </cell>
          <cell r="AO269">
            <v>-1036502.86</v>
          </cell>
          <cell r="AP269">
            <v>-952681.4</v>
          </cell>
          <cell r="AQ269">
            <v>-951581.44</v>
          </cell>
          <cell r="AR269">
            <v>-956601.61</v>
          </cell>
          <cell r="AS269">
            <v>-883002.34</v>
          </cell>
          <cell r="AT269">
            <v>-865519.15</v>
          </cell>
          <cell r="AU269">
            <v>-812479.46</v>
          </cell>
          <cell r="AV269">
            <v>-813680.17</v>
          </cell>
          <cell r="AW269">
            <v>-846312.01</v>
          </cell>
          <cell r="AX269">
            <v>-899052.15</v>
          </cell>
          <cell r="AY269">
            <v>-966037.82</v>
          </cell>
          <cell r="AZ269">
            <v>-990699.91</v>
          </cell>
          <cell r="BA269">
            <v>-1322406.3400000001</v>
          </cell>
          <cell r="BB269">
            <v>-1171013.03</v>
          </cell>
          <cell r="BC269">
            <v>-1074085.18</v>
          </cell>
          <cell r="BD269">
            <v>-1094952.79</v>
          </cell>
          <cell r="BE269">
            <v>-1007736.16</v>
          </cell>
          <cell r="BF269">
            <v>-998171.22</v>
          </cell>
          <cell r="BG269">
            <v>-916004.53</v>
          </cell>
          <cell r="BH269">
            <v>-890431.4</v>
          </cell>
          <cell r="BI269">
            <v>-956837.97</v>
          </cell>
          <cell r="BJ269">
            <v>-920585.16</v>
          </cell>
          <cell r="BK269">
            <v>-972171.06</v>
          </cell>
          <cell r="BL269">
            <v>-1037067.09</v>
          </cell>
          <cell r="BM269">
            <v>-1193393.58</v>
          </cell>
          <cell r="BN269">
            <v>-1123088.26</v>
          </cell>
          <cell r="BO269">
            <v>-1080449.74</v>
          </cell>
          <cell r="BP269">
            <v>-1074333.8999999999</v>
          </cell>
          <cell r="BQ269">
            <v>-948753.76</v>
          </cell>
          <cell r="BR269">
            <v>-927669.83</v>
          </cell>
          <cell r="BS269">
            <v>-916050.83</v>
          </cell>
          <cell r="BT269">
            <v>-882173.48</v>
          </cell>
          <cell r="BU269">
            <v>-921605.63</v>
          </cell>
          <cell r="BV269">
            <v>-926152.96</v>
          </cell>
          <cell r="BW269">
            <v>-1006879.55</v>
          </cell>
          <cell r="BX269">
            <v>-1089358.7</v>
          </cell>
          <cell r="BY269">
            <v>-1221253.49</v>
          </cell>
          <cell r="BZ269">
            <v>-1135675.0900000001</v>
          </cell>
          <cell r="CA269">
            <v>-1103364.95</v>
          </cell>
          <cell r="CB269">
            <v>-991510.67</v>
          </cell>
          <cell r="CC269">
            <v>-885486.25</v>
          </cell>
          <cell r="CD269">
            <v>-827303.46</v>
          </cell>
          <cell r="CE269">
            <v>-866479.17</v>
          </cell>
          <cell r="CF269">
            <v>-859378.53</v>
          </cell>
          <cell r="CG269">
            <v>-864737.51</v>
          </cell>
          <cell r="CH269">
            <v>-913805.81</v>
          </cell>
          <cell r="CI269">
            <v>-1017784.1</v>
          </cell>
          <cell r="CJ269">
            <v>-1061936.3899999999</v>
          </cell>
          <cell r="CK269">
            <v>-1456853.71</v>
          </cell>
          <cell r="CL269">
            <v>-1338719.8999999999</v>
          </cell>
          <cell r="CM269">
            <v>-1291178.05</v>
          </cell>
          <cell r="CN269">
            <v>-1328748.96</v>
          </cell>
          <cell r="CO269">
            <v>-1201455.51</v>
          </cell>
          <cell r="CP269">
            <v>-1169257.92</v>
          </cell>
          <cell r="CQ269">
            <v>-1157377.58</v>
          </cell>
          <cell r="CR269">
            <v>-1084493.3500000001</v>
          </cell>
          <cell r="CS269">
            <v>-1163226.6599999999</v>
          </cell>
          <cell r="CT269">
            <v>-1140305.6299999999</v>
          </cell>
          <cell r="CU269">
            <v>-1259102.8799999999</v>
          </cell>
          <cell r="CV269">
            <v>-1373429.83</v>
          </cell>
          <cell r="CW269">
            <v>-1579419.25</v>
          </cell>
          <cell r="CX269">
            <v>-1611358.57</v>
          </cell>
          <cell r="CY269">
            <v>-1495664.07</v>
          </cell>
          <cell r="CZ269">
            <v>-1419531.95</v>
          </cell>
          <cell r="DA269">
            <v>-1347793.71</v>
          </cell>
          <cell r="DB269">
            <v>-1278925.32</v>
          </cell>
          <cell r="DC269">
            <v>-1152918.8</v>
          </cell>
          <cell r="DD269">
            <v>-1295705.42</v>
          </cell>
          <cell r="DE269">
            <v>-1361739.02</v>
          </cell>
          <cell r="DF269">
            <v>-1454842.18</v>
          </cell>
          <cell r="DG269">
            <v>-1199953.95</v>
          </cell>
          <cell r="DH269">
            <v>-1346776.29</v>
          </cell>
        </row>
        <row r="270">
          <cell r="A270" t="str">
            <v>2360606</v>
          </cell>
          <cell r="B270" t="str">
            <v>2360606</v>
          </cell>
          <cell r="C270" t="str">
            <v>Tax Pay Excise Tax</v>
          </cell>
          <cell r="D270">
            <v>2555.48</v>
          </cell>
          <cell r="E270">
            <v>3293.89</v>
          </cell>
          <cell r="F270">
            <v>3094.48</v>
          </cell>
          <cell r="G270">
            <v>2956.22</v>
          </cell>
          <cell r="H270">
            <v>3110.33</v>
          </cell>
          <cell r="I270">
            <v>2458.3200000000002</v>
          </cell>
          <cell r="J270">
            <v>1485.64</v>
          </cell>
          <cell r="K270">
            <v>3485</v>
          </cell>
          <cell r="L270">
            <v>3415.33</v>
          </cell>
          <cell r="M270">
            <v>3351.07</v>
          </cell>
          <cell r="N270">
            <v>3459.08</v>
          </cell>
          <cell r="O270">
            <v>3401.84</v>
          </cell>
          <cell r="P270">
            <v>3345.67</v>
          </cell>
          <cell r="Q270">
            <v>3496.74</v>
          </cell>
          <cell r="R270">
            <v>3458.26</v>
          </cell>
          <cell r="S270">
            <v>3381.1</v>
          </cell>
          <cell r="T270">
            <v>3503.6</v>
          </cell>
          <cell r="U270">
            <v>3420.5</v>
          </cell>
          <cell r="V270">
            <v>3331.7</v>
          </cell>
          <cell r="W270">
            <v>3458.93</v>
          </cell>
          <cell r="X270">
            <v>3395.57</v>
          </cell>
          <cell r="Y270">
            <v>3311.34</v>
          </cell>
          <cell r="Z270">
            <v>3467.66</v>
          </cell>
          <cell r="AA270">
            <v>3358.92</v>
          </cell>
          <cell r="AB270">
            <v>3271.45</v>
          </cell>
          <cell r="AC270">
            <v>3394.16</v>
          </cell>
          <cell r="AD270">
            <v>3194.34</v>
          </cell>
          <cell r="AE270">
            <v>3096.19</v>
          </cell>
          <cell r="AF270">
            <v>3395.64</v>
          </cell>
          <cell r="AG270">
            <v>3291.34</v>
          </cell>
          <cell r="AH270">
            <v>3201.18</v>
          </cell>
          <cell r="AI270">
            <v>3403.14</v>
          </cell>
          <cell r="AJ270">
            <v>3265.73</v>
          </cell>
          <cell r="AK270">
            <v>3149.92</v>
          </cell>
          <cell r="AL270">
            <v>3423.75</v>
          </cell>
          <cell r="AM270">
            <v>3339.95</v>
          </cell>
          <cell r="AN270">
            <v>3232.29</v>
          </cell>
          <cell r="AO270">
            <v>3437.19</v>
          </cell>
          <cell r="AP270">
            <v>3312.25</v>
          </cell>
          <cell r="AQ270">
            <v>3236.75</v>
          </cell>
          <cell r="AR270">
            <v>3456.7</v>
          </cell>
          <cell r="AS270">
            <v>3380.38</v>
          </cell>
          <cell r="AT270">
            <v>3325.61</v>
          </cell>
          <cell r="AU270">
            <v>3541.79</v>
          </cell>
          <cell r="AV270">
            <v>3468.27</v>
          </cell>
          <cell r="AW270">
            <v>3381.78</v>
          </cell>
          <cell r="AX270">
            <v>3356.23</v>
          </cell>
          <cell r="AY270">
            <v>3308.86</v>
          </cell>
          <cell r="AZ270">
            <v>3249.31</v>
          </cell>
          <cell r="BA270">
            <v>3478.87</v>
          </cell>
          <cell r="BB270">
            <v>3410.01</v>
          </cell>
          <cell r="BC270">
            <v>3364.9</v>
          </cell>
          <cell r="BD270">
            <v>3495.75</v>
          </cell>
          <cell r="BE270">
            <v>3433.11</v>
          </cell>
          <cell r="BF270">
            <v>3378.37</v>
          </cell>
          <cell r="BG270">
            <v>3481.27</v>
          </cell>
          <cell r="BH270">
            <v>3440.57</v>
          </cell>
          <cell r="BI270">
            <v>3381.08</v>
          </cell>
          <cell r="BJ270">
            <v>3526.05</v>
          </cell>
          <cell r="BK270">
            <v>3490.88</v>
          </cell>
          <cell r="BL270">
            <v>3434.88</v>
          </cell>
          <cell r="BM270">
            <v>3518.63</v>
          </cell>
          <cell r="BN270">
            <v>3493.13</v>
          </cell>
          <cell r="BO270">
            <v>3459.43</v>
          </cell>
          <cell r="BP270">
            <v>3529.38</v>
          </cell>
          <cell r="BQ270">
            <v>3516.78</v>
          </cell>
          <cell r="BR270">
            <v>3510.51</v>
          </cell>
          <cell r="BS270">
            <v>3528.3</v>
          </cell>
          <cell r="BT270">
            <v>3511.38</v>
          </cell>
          <cell r="BU270">
            <v>3509.9</v>
          </cell>
          <cell r="BV270">
            <v>3521.06</v>
          </cell>
          <cell r="BW270">
            <v>3512.48</v>
          </cell>
          <cell r="BX270">
            <v>3492.77</v>
          </cell>
          <cell r="BY270">
            <v>3525.62</v>
          </cell>
          <cell r="BZ270">
            <v>3513.77</v>
          </cell>
          <cell r="CA270">
            <v>3503.4</v>
          </cell>
          <cell r="CB270">
            <v>3518.09</v>
          </cell>
          <cell r="CC270">
            <v>3514.83</v>
          </cell>
          <cell r="CD270">
            <v>3464.48</v>
          </cell>
          <cell r="CE270">
            <v>3506.25</v>
          </cell>
          <cell r="CF270">
            <v>3504.1</v>
          </cell>
          <cell r="CG270">
            <v>3502.62</v>
          </cell>
          <cell r="CH270">
            <v>3538.5</v>
          </cell>
          <cell r="CI270">
            <v>3538.5</v>
          </cell>
          <cell r="CJ270">
            <v>3511.29</v>
          </cell>
          <cell r="CK270">
            <v>3528.46</v>
          </cell>
          <cell r="CL270">
            <v>3526.82</v>
          </cell>
          <cell r="CM270">
            <v>3519.42</v>
          </cell>
          <cell r="CN270">
            <v>3542.96</v>
          </cell>
          <cell r="CO270">
            <v>3534.07</v>
          </cell>
          <cell r="CP270">
            <v>3527.29</v>
          </cell>
          <cell r="CQ270">
            <v>3535.87</v>
          </cell>
          <cell r="CR270">
            <v>3523.21</v>
          </cell>
          <cell r="CS270">
            <v>3517.9</v>
          </cell>
          <cell r="CT270">
            <v>3539.44</v>
          </cell>
          <cell r="CU270">
            <v>4275.97</v>
          </cell>
          <cell r="CV270">
            <v>4275.97</v>
          </cell>
          <cell r="CW270">
            <v>4267.51</v>
          </cell>
          <cell r="CX270">
            <v>4263.97</v>
          </cell>
          <cell r="CY270">
            <v>4259.53</v>
          </cell>
          <cell r="CZ270">
            <v>4281.72</v>
          </cell>
          <cell r="DA270">
            <v>4281.72</v>
          </cell>
          <cell r="DB270">
            <v>4277.28</v>
          </cell>
          <cell r="DC270">
            <v>4286.46</v>
          </cell>
          <cell r="DD270">
            <v>4284.9799999999996</v>
          </cell>
          <cell r="DE270">
            <v>4261.8100000000004</v>
          </cell>
          <cell r="DF270">
            <v>4286.46</v>
          </cell>
          <cell r="DG270">
            <v>4275.22</v>
          </cell>
          <cell r="DH270">
            <v>4267.54</v>
          </cell>
        </row>
        <row r="271">
          <cell r="A271" t="str">
            <v>2360620</v>
          </cell>
          <cell r="B271" t="str">
            <v>2360620</v>
          </cell>
          <cell r="C271" t="str">
            <v>Tax Pay FICA Employr</v>
          </cell>
          <cell r="D271">
            <v>0</v>
          </cell>
          <cell r="E271">
            <v>-239642.44</v>
          </cell>
          <cell r="F271">
            <v>0</v>
          </cell>
          <cell r="G271">
            <v>0</v>
          </cell>
          <cell r="H271">
            <v>0</v>
          </cell>
          <cell r="I271">
            <v>0</v>
          </cell>
          <cell r="J271">
            <v>0</v>
          </cell>
          <cell r="K271">
            <v>0</v>
          </cell>
          <cell r="L271">
            <v>0</v>
          </cell>
          <cell r="M271">
            <v>0</v>
          </cell>
          <cell r="N271">
            <v>0</v>
          </cell>
          <cell r="O271">
            <v>0</v>
          </cell>
          <cell r="P271">
            <v>-90000</v>
          </cell>
          <cell r="Q271">
            <v>-90000</v>
          </cell>
          <cell r="R271">
            <v>0</v>
          </cell>
          <cell r="S271">
            <v>-53000</v>
          </cell>
          <cell r="T271">
            <v>-161748.47</v>
          </cell>
          <cell r="U271">
            <v>-147341.09</v>
          </cell>
          <cell r="V271">
            <v>-66000</v>
          </cell>
          <cell r="W271">
            <v>-58000</v>
          </cell>
          <cell r="X271">
            <v>-60000</v>
          </cell>
          <cell r="Y271">
            <v>-44000</v>
          </cell>
          <cell r="Z271">
            <v>-42000</v>
          </cell>
          <cell r="AA271">
            <v>-68000</v>
          </cell>
          <cell r="AB271">
            <v>-146973</v>
          </cell>
          <cell r="AC271">
            <v>-158815</v>
          </cell>
          <cell r="AD271">
            <v>-23684</v>
          </cell>
          <cell r="AE271">
            <v>-35526</v>
          </cell>
          <cell r="AF271">
            <v>-47368</v>
          </cell>
          <cell r="AG271">
            <v>-59210</v>
          </cell>
          <cell r="AH271">
            <v>-71052</v>
          </cell>
          <cell r="AI271">
            <v>-97894</v>
          </cell>
          <cell r="AJ271">
            <v>-156736</v>
          </cell>
          <cell r="AK271">
            <v>-185578</v>
          </cell>
          <cell r="AL271">
            <v>-195420</v>
          </cell>
          <cell r="AM271">
            <v>-164265.44</v>
          </cell>
          <cell r="AN271">
            <v>-190234</v>
          </cell>
          <cell r="AO271">
            <v>-203213.17</v>
          </cell>
          <cell r="AP271">
            <v>-25958.34</v>
          </cell>
          <cell r="AQ271">
            <v>-46872.51</v>
          </cell>
          <cell r="AR271">
            <v>-59851.68</v>
          </cell>
          <cell r="AS271">
            <v>-64895.85</v>
          </cell>
          <cell r="AT271">
            <v>-83125.02</v>
          </cell>
          <cell r="AU271">
            <v>-96979.19</v>
          </cell>
          <cell r="AV271">
            <v>-220529.76</v>
          </cell>
          <cell r="AW271">
            <v>-124687.53</v>
          </cell>
          <cell r="AX271">
            <v>-120544.86</v>
          </cell>
          <cell r="AY271">
            <v>-132599.35</v>
          </cell>
          <cell r="AZ271">
            <v>-160403.84</v>
          </cell>
          <cell r="BA271">
            <v>-176841.76</v>
          </cell>
          <cell r="BB271">
            <v>-32875.839999999997</v>
          </cell>
          <cell r="BC271">
            <v>-48787.86</v>
          </cell>
          <cell r="BD271">
            <v>-65225.78</v>
          </cell>
          <cell r="BE271">
            <v>-82099.600000000006</v>
          </cell>
          <cell r="BF271">
            <v>-98537.52</v>
          </cell>
          <cell r="BG271">
            <v>-123552.39</v>
          </cell>
          <cell r="BH271">
            <v>-171815.58</v>
          </cell>
          <cell r="BI271">
            <v>-194234.84</v>
          </cell>
          <cell r="BJ271">
            <v>-215826.49</v>
          </cell>
          <cell r="BK271">
            <v>-237418.14</v>
          </cell>
          <cell r="BL271">
            <v>-353473.07</v>
          </cell>
          <cell r="BM271">
            <v>-413011.53</v>
          </cell>
          <cell r="BN271">
            <v>-163830.94</v>
          </cell>
          <cell r="BO271">
            <v>-68040.27</v>
          </cell>
          <cell r="BP271">
            <v>-90720.36</v>
          </cell>
          <cell r="BQ271">
            <v>-113400.45</v>
          </cell>
          <cell r="BR271">
            <v>-136080.54</v>
          </cell>
          <cell r="BS271">
            <v>-158760.63</v>
          </cell>
          <cell r="BT271">
            <v>-181440.72</v>
          </cell>
          <cell r="BU271">
            <v>-213077.3</v>
          </cell>
          <cell r="BV271">
            <v>-236752.55</v>
          </cell>
          <cell r="BW271">
            <v>-312927.8</v>
          </cell>
          <cell r="BX271">
            <v>-452793.17</v>
          </cell>
          <cell r="BY271">
            <v>-369352.88</v>
          </cell>
          <cell r="BZ271">
            <v>-44084.3</v>
          </cell>
          <cell r="CA271">
            <v>-59022.239999999998</v>
          </cell>
          <cell r="CB271">
            <v>-84196.479999999996</v>
          </cell>
          <cell r="CC271">
            <v>-311658.09000000003</v>
          </cell>
          <cell r="CD271">
            <v>-525235.67000000004</v>
          </cell>
          <cell r="CE271">
            <v>-844932.7</v>
          </cell>
          <cell r="CF271">
            <v>-1063171.25</v>
          </cell>
          <cell r="CG271">
            <v>-1128352.6599999999</v>
          </cell>
          <cell r="CH271">
            <v>-1344463.25</v>
          </cell>
          <cell r="CI271">
            <v>-1567155.92</v>
          </cell>
          <cell r="CJ271">
            <v>-1868718.24</v>
          </cell>
          <cell r="CK271">
            <v>-1867428.58</v>
          </cell>
          <cell r="CL271">
            <v>-1893667.24</v>
          </cell>
          <cell r="CM271">
            <v>-1518152.98</v>
          </cell>
          <cell r="CN271">
            <v>-1534768.6</v>
          </cell>
          <cell r="CO271">
            <v>-1559246.14</v>
          </cell>
          <cell r="CP271">
            <v>-1598044.07</v>
          </cell>
          <cell r="CQ271">
            <v>-1621876.98</v>
          </cell>
          <cell r="CR271">
            <v>-1646162.58</v>
          </cell>
          <cell r="CS271">
            <v>-1641037.85</v>
          </cell>
          <cell r="CT271">
            <v>-1812463.43</v>
          </cell>
          <cell r="CU271">
            <v>-1920153.8</v>
          </cell>
          <cell r="CV271">
            <v>-1335022.32</v>
          </cell>
          <cell r="CW271">
            <v>-1370218.37</v>
          </cell>
          <cell r="CX271">
            <v>-1404520.66</v>
          </cell>
          <cell r="CY271">
            <v>-1004342.15</v>
          </cell>
          <cell r="CZ271">
            <v>-1042092.5</v>
          </cell>
          <cell r="DA271">
            <v>-1073921.8600000001</v>
          </cell>
          <cell r="DB271">
            <v>-1271829.51</v>
          </cell>
          <cell r="DC271">
            <v>-1299079.74</v>
          </cell>
          <cell r="DD271">
            <v>-1179894.9099999999</v>
          </cell>
          <cell r="DE271">
            <v>-1215983.1499999999</v>
          </cell>
          <cell r="DF271">
            <v>-1252496.96</v>
          </cell>
          <cell r="DG271">
            <v>-1334303.6000000001</v>
          </cell>
          <cell r="DH271">
            <v>-480347.74</v>
          </cell>
        </row>
        <row r="272">
          <cell r="A272" t="str">
            <v>2360800</v>
          </cell>
          <cell r="B272" t="str">
            <v>2360800</v>
          </cell>
          <cell r="C272" t="str">
            <v>Tax Pay Other</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-50000</v>
          </cell>
          <cell r="AC272">
            <v>-50000</v>
          </cell>
          <cell r="AD272">
            <v>-50000</v>
          </cell>
          <cell r="AE272">
            <v>-50000</v>
          </cell>
          <cell r="AF272">
            <v>-50000</v>
          </cell>
          <cell r="AG272">
            <v>-50000</v>
          </cell>
          <cell r="AH272">
            <v>-50000</v>
          </cell>
          <cell r="AI272">
            <v>-50000</v>
          </cell>
          <cell r="AJ272">
            <v>-50000</v>
          </cell>
          <cell r="AK272">
            <v>-50000</v>
          </cell>
          <cell r="AL272">
            <v>-50000</v>
          </cell>
          <cell r="AM272">
            <v>-50000</v>
          </cell>
          <cell r="AN272">
            <v>-50000</v>
          </cell>
          <cell r="AO272">
            <v>-50000</v>
          </cell>
          <cell r="AP272">
            <v>-50000</v>
          </cell>
          <cell r="AQ272">
            <v>-50000</v>
          </cell>
          <cell r="AR272">
            <v>-50000</v>
          </cell>
          <cell r="AS272">
            <v>-50000</v>
          </cell>
          <cell r="AT272">
            <v>-50000</v>
          </cell>
          <cell r="AU272">
            <v>-50000</v>
          </cell>
          <cell r="AV272">
            <v>-35606.15</v>
          </cell>
          <cell r="AW272">
            <v>-35606.15</v>
          </cell>
          <cell r="AX272">
            <v>-34622.79</v>
          </cell>
          <cell r="AY272">
            <v>-34622.79</v>
          </cell>
          <cell r="AZ272">
            <v>-34622.79</v>
          </cell>
          <cell r="BA272">
            <v>-34622.79</v>
          </cell>
          <cell r="BB272">
            <v>-34622.79</v>
          </cell>
          <cell r="BC272">
            <v>-34622.79</v>
          </cell>
          <cell r="BD272">
            <v>-34622.79</v>
          </cell>
          <cell r="BE272">
            <v>-34622.79</v>
          </cell>
          <cell r="BF272">
            <v>-34622.79</v>
          </cell>
          <cell r="BG272">
            <v>-34622.79</v>
          </cell>
          <cell r="BH272">
            <v>-34622.79</v>
          </cell>
          <cell r="BI272">
            <v>-34622.79</v>
          </cell>
          <cell r="BJ272">
            <v>-34622.79</v>
          </cell>
          <cell r="BK272">
            <v>-34622.79</v>
          </cell>
          <cell r="BL272">
            <v>-34622.79</v>
          </cell>
          <cell r="BM272">
            <v>-34622.79</v>
          </cell>
          <cell r="BN272">
            <v>-34622.79</v>
          </cell>
          <cell r="BO272">
            <v>-34622.79</v>
          </cell>
          <cell r="BP272">
            <v>-34622.79</v>
          </cell>
          <cell r="BQ272">
            <v>-34622.79</v>
          </cell>
          <cell r="BR272">
            <v>-34622.79</v>
          </cell>
          <cell r="BS272">
            <v>-34622.79</v>
          </cell>
          <cell r="BT272">
            <v>-34622.79</v>
          </cell>
          <cell r="BU272">
            <v>-34622.79</v>
          </cell>
          <cell r="BV272">
            <v>-34622.79</v>
          </cell>
          <cell r="BW272">
            <v>-34622.79</v>
          </cell>
          <cell r="BX272">
            <v>-34622.79</v>
          </cell>
          <cell r="BY272">
            <v>-34622.79</v>
          </cell>
          <cell r="BZ272">
            <v>-34622.79</v>
          </cell>
          <cell r="CA272">
            <v>-34622.79</v>
          </cell>
          <cell r="CB272">
            <v>-34622.79</v>
          </cell>
          <cell r="CC272">
            <v>-34622.79</v>
          </cell>
          <cell r="CD272">
            <v>-34622.79</v>
          </cell>
          <cell r="CE272">
            <v>-34622.79</v>
          </cell>
          <cell r="CF272">
            <v>-34622.79</v>
          </cell>
          <cell r="CG272">
            <v>-34622.79</v>
          </cell>
          <cell r="CH272">
            <v>-34622.79</v>
          </cell>
          <cell r="CI272">
            <v>-34622.79</v>
          </cell>
          <cell r="CJ272">
            <v>-34622.79</v>
          </cell>
          <cell r="CK272">
            <v>-34622.79</v>
          </cell>
          <cell r="CL272">
            <v>-34622.79</v>
          </cell>
          <cell r="CM272">
            <v>-34622.79</v>
          </cell>
          <cell r="CN272">
            <v>-34622.79</v>
          </cell>
          <cell r="CO272">
            <v>-34622.79</v>
          </cell>
          <cell r="CP272">
            <v>-34622.79</v>
          </cell>
          <cell r="CQ272">
            <v>-34622.79</v>
          </cell>
          <cell r="CR272">
            <v>-34622.79</v>
          </cell>
          <cell r="CS272">
            <v>-34622.79</v>
          </cell>
          <cell r="CT272">
            <v>-34622.79</v>
          </cell>
          <cell r="CU272">
            <v>-34622.79</v>
          </cell>
          <cell r="CV272">
            <v>-34622.79</v>
          </cell>
          <cell r="CW272">
            <v>-34622.79</v>
          </cell>
          <cell r="CX272">
            <v>-34622.79</v>
          </cell>
          <cell r="CY272">
            <v>-34622.79</v>
          </cell>
          <cell r="CZ272">
            <v>-34622.79</v>
          </cell>
          <cell r="DA272">
            <v>-34622.79</v>
          </cell>
          <cell r="DB272">
            <v>-34622.79</v>
          </cell>
          <cell r="DC272">
            <v>-34622.79</v>
          </cell>
          <cell r="DD272">
            <v>-34622.79</v>
          </cell>
          <cell r="DE272">
            <v>-34622.79</v>
          </cell>
          <cell r="DF272">
            <v>-34622.79</v>
          </cell>
          <cell r="DG272">
            <v>-34622.79</v>
          </cell>
          <cell r="DH272">
            <v>-34622.79</v>
          </cell>
        </row>
        <row r="273">
          <cell r="A273" t="str">
            <v>2370300</v>
          </cell>
          <cell r="B273" t="str">
            <v>2370300</v>
          </cell>
          <cell r="C273" t="str">
            <v>Int Acc Cust Deposit</v>
          </cell>
          <cell r="D273">
            <v>-334348.08</v>
          </cell>
          <cell r="E273">
            <v>-411340.6</v>
          </cell>
          <cell r="F273">
            <v>-487071.77</v>
          </cell>
          <cell r="G273">
            <v>-562383.55000000005</v>
          </cell>
          <cell r="H273">
            <v>-637033.81000000006</v>
          </cell>
          <cell r="I273">
            <v>-711566.98</v>
          </cell>
          <cell r="J273">
            <v>-784411.25</v>
          </cell>
          <cell r="K273">
            <v>-857137.98</v>
          </cell>
          <cell r="L273">
            <v>-21472.09</v>
          </cell>
          <cell r="M273">
            <v>-104464.38</v>
          </cell>
          <cell r="N273">
            <v>-186469.6</v>
          </cell>
          <cell r="O273">
            <v>-266252.03000000003</v>
          </cell>
          <cell r="P273">
            <v>-347114.93</v>
          </cell>
          <cell r="Q273">
            <v>-425609.97</v>
          </cell>
          <cell r="R273">
            <v>-503790.12</v>
          </cell>
          <cell r="S273">
            <v>-580662.56000000006</v>
          </cell>
          <cell r="T273">
            <v>-658559.87</v>
          </cell>
          <cell r="U273">
            <v>-733378.24</v>
          </cell>
          <cell r="V273">
            <v>-807866.24</v>
          </cell>
          <cell r="W273">
            <v>-882946.25</v>
          </cell>
          <cell r="X273">
            <v>-22274.44</v>
          </cell>
          <cell r="Y273">
            <v>-107640.57</v>
          </cell>
          <cell r="Z273">
            <v>-192369.15</v>
          </cell>
          <cell r="AA273">
            <v>-276129.98</v>
          </cell>
          <cell r="AB273">
            <v>-24118.19</v>
          </cell>
          <cell r="AC273">
            <v>-110559.84</v>
          </cell>
          <cell r="AD273">
            <v>-192686.22</v>
          </cell>
          <cell r="AE273">
            <v>-271046.09000000003</v>
          </cell>
          <cell r="AF273">
            <v>-346083.14</v>
          </cell>
          <cell r="AG273">
            <v>-417694.18</v>
          </cell>
          <cell r="AH273">
            <v>-486750.79</v>
          </cell>
          <cell r="AI273">
            <v>-551111.54</v>
          </cell>
          <cell r="AJ273">
            <v>-19946.64</v>
          </cell>
          <cell r="AK273">
            <v>-87146.04</v>
          </cell>
          <cell r="AL273">
            <v>-151548.82999999999</v>
          </cell>
          <cell r="AM273">
            <v>-210919.21</v>
          </cell>
          <cell r="AN273">
            <v>-17812.34</v>
          </cell>
          <cell r="AO273">
            <v>-74317.34</v>
          </cell>
          <cell r="AP273">
            <v>-127218.62</v>
          </cell>
          <cell r="AQ273">
            <v>-179071.35</v>
          </cell>
          <cell r="AR273">
            <v>-229088.99</v>
          </cell>
          <cell r="AS273">
            <v>-277626.40999999997</v>
          </cell>
          <cell r="AT273">
            <v>-325812.15000000002</v>
          </cell>
          <cell r="AU273">
            <v>-368186.97</v>
          </cell>
          <cell r="AV273">
            <v>-412452.75</v>
          </cell>
          <cell r="AW273">
            <v>-457250.23</v>
          </cell>
          <cell r="AX273">
            <v>-500190.34</v>
          </cell>
          <cell r="AY273">
            <v>-538918.24</v>
          </cell>
          <cell r="AZ273">
            <v>-17573.16</v>
          </cell>
          <cell r="BA273">
            <v>-71614.66</v>
          </cell>
          <cell r="BB273">
            <v>-124917.84</v>
          </cell>
          <cell r="BC273">
            <v>-176236.65</v>
          </cell>
          <cell r="BD273">
            <v>-227517.09</v>
          </cell>
          <cell r="BE273">
            <v>-278274.19</v>
          </cell>
          <cell r="BF273">
            <v>-325740.88</v>
          </cell>
          <cell r="BG273">
            <v>-374524.72</v>
          </cell>
          <cell r="BH273">
            <v>-422657.59</v>
          </cell>
          <cell r="BI273">
            <v>-469895.84</v>
          </cell>
          <cell r="BJ273">
            <v>-515436.15</v>
          </cell>
          <cell r="BK273">
            <v>-561353.64</v>
          </cell>
          <cell r="BL273">
            <v>-16610.23</v>
          </cell>
          <cell r="BM273">
            <v>-71059.53</v>
          </cell>
          <cell r="BN273">
            <v>-124663.16</v>
          </cell>
          <cell r="BO273">
            <v>-176598.15</v>
          </cell>
          <cell r="BP273">
            <v>-228850.78</v>
          </cell>
          <cell r="BQ273">
            <v>-279286.71000000002</v>
          </cell>
          <cell r="BR273">
            <v>-327851.01</v>
          </cell>
          <cell r="BS273">
            <v>-374147.63</v>
          </cell>
          <cell r="BT273">
            <v>-420120.22</v>
          </cell>
          <cell r="BU273">
            <v>-466624.03</v>
          </cell>
          <cell r="BV273">
            <v>-512355.05</v>
          </cell>
          <cell r="BW273">
            <v>-556104.1</v>
          </cell>
          <cell r="BX273">
            <v>-16026.57</v>
          </cell>
          <cell r="BY273">
            <v>-69889.67</v>
          </cell>
          <cell r="BZ273">
            <v>-123609.04</v>
          </cell>
          <cell r="CA273">
            <v>-175690.36</v>
          </cell>
          <cell r="CB273">
            <v>-226799.48</v>
          </cell>
          <cell r="CC273">
            <v>-276679.34000000003</v>
          </cell>
          <cell r="CD273">
            <v>-325451.73</v>
          </cell>
          <cell r="CE273">
            <v>-372508.97</v>
          </cell>
          <cell r="CF273">
            <v>-418641.97</v>
          </cell>
          <cell r="CG273">
            <v>-463529.51</v>
          </cell>
          <cell r="CH273">
            <v>-506720.36</v>
          </cell>
          <cell r="CI273">
            <v>-551103.75</v>
          </cell>
          <cell r="CJ273">
            <v>-14685.01</v>
          </cell>
          <cell r="CK273">
            <v>-67914.42</v>
          </cell>
          <cell r="CL273">
            <v>-120735.97</v>
          </cell>
          <cell r="CM273">
            <v>-172978.19</v>
          </cell>
          <cell r="CN273">
            <v>-223902.89</v>
          </cell>
          <cell r="CO273">
            <v>-273871.86</v>
          </cell>
          <cell r="CP273">
            <v>-323372.13</v>
          </cell>
          <cell r="CQ273">
            <v>-373908.47999999998</v>
          </cell>
          <cell r="CR273">
            <v>-423453.8</v>
          </cell>
          <cell r="CS273">
            <v>-472903.4</v>
          </cell>
          <cell r="CT273">
            <v>-519885.46</v>
          </cell>
          <cell r="CU273">
            <v>-568781.9</v>
          </cell>
          <cell r="CV273">
            <v>-15558.56</v>
          </cell>
          <cell r="CW273">
            <v>-71969.850000000006</v>
          </cell>
          <cell r="CX273">
            <v>-128230.92</v>
          </cell>
          <cell r="CY273">
            <v>-184530.74</v>
          </cell>
          <cell r="CZ273">
            <v>-240009.49</v>
          </cell>
          <cell r="DA273">
            <v>-294844.59999999998</v>
          </cell>
          <cell r="DB273">
            <v>-348758.74</v>
          </cell>
          <cell r="DC273">
            <v>-402594.21</v>
          </cell>
          <cell r="DD273">
            <v>-456025.03</v>
          </cell>
          <cell r="DE273">
            <v>-510539.26</v>
          </cell>
          <cell r="DF273">
            <v>-563130.14</v>
          </cell>
          <cell r="DG273">
            <v>-617070.25</v>
          </cell>
          <cell r="DH273">
            <v>-19063.52</v>
          </cell>
        </row>
        <row r="274">
          <cell r="A274" t="str">
            <v>2370350</v>
          </cell>
          <cell r="B274" t="str">
            <v>2370350</v>
          </cell>
          <cell r="C274" t="str">
            <v>Int Acc Credit Facility</v>
          </cell>
          <cell r="AC274">
            <v>0</v>
          </cell>
        </row>
        <row r="275">
          <cell r="A275" t="str">
            <v>2370400</v>
          </cell>
          <cell r="B275" t="str">
            <v>2370400</v>
          </cell>
          <cell r="C275" t="str">
            <v>Int Accr LTD</v>
          </cell>
          <cell r="D275">
            <v>-1443411.66</v>
          </cell>
          <cell r="E275">
            <v>-2440519.38</v>
          </cell>
          <cell r="F275">
            <v>-3437627.1</v>
          </cell>
          <cell r="G275">
            <v>-4109734.82</v>
          </cell>
          <cell r="H275">
            <v>-5106842.54</v>
          </cell>
          <cell r="I275">
            <v>-1489428.9</v>
          </cell>
          <cell r="J275">
            <v>-1497786.62</v>
          </cell>
          <cell r="K275">
            <v>-2531144.34</v>
          </cell>
          <cell r="L275">
            <v>-3564502.06</v>
          </cell>
          <cell r="M275">
            <v>-4272859.78</v>
          </cell>
          <cell r="N275">
            <v>-5306217.5</v>
          </cell>
          <cell r="O275">
            <v>-1489428.86</v>
          </cell>
          <cell r="P275">
            <v>-1497786.58</v>
          </cell>
          <cell r="Q275">
            <v>-2531144.2999999998</v>
          </cell>
          <cell r="R275">
            <v>-3564502.03</v>
          </cell>
          <cell r="S275">
            <v>-4272859.76</v>
          </cell>
          <cell r="T275">
            <v>-5306217.49</v>
          </cell>
          <cell r="U275">
            <v>-1522095.53</v>
          </cell>
          <cell r="V275">
            <v>-1600453.26</v>
          </cell>
          <cell r="W275">
            <v>-2703810.99</v>
          </cell>
          <cell r="X275">
            <v>-3807168.72</v>
          </cell>
          <cell r="Y275">
            <v>-4585526.45</v>
          </cell>
          <cell r="Z275">
            <v>-5688884.1799999997</v>
          </cell>
          <cell r="AA275">
            <v>-1524428.89</v>
          </cell>
          <cell r="AB275">
            <v>-1602786.62</v>
          </cell>
          <cell r="AC275">
            <v>-2706144.35</v>
          </cell>
          <cell r="AD275">
            <v>-3809502.08</v>
          </cell>
          <cell r="AE275">
            <v>-4587859.8099999996</v>
          </cell>
          <cell r="AF275">
            <v>-5691217.54</v>
          </cell>
          <cell r="AG275">
            <v>-1524428.91</v>
          </cell>
          <cell r="AH275">
            <v>-1602786.64</v>
          </cell>
          <cell r="AI275">
            <v>-2706144.37</v>
          </cell>
          <cell r="AJ275">
            <v>-3799252.1</v>
          </cell>
          <cell r="AK275">
            <v>-4577609.83</v>
          </cell>
          <cell r="AL275">
            <v>-5680967.5599999996</v>
          </cell>
          <cell r="AM275">
            <v>-1514178.93</v>
          </cell>
          <cell r="AN275">
            <v>-1592536.66</v>
          </cell>
          <cell r="AO275">
            <v>-2695894.39</v>
          </cell>
          <cell r="AP275">
            <v>-3799252.12</v>
          </cell>
          <cell r="AQ275">
            <v>-4577609.8499999996</v>
          </cell>
          <cell r="AR275">
            <v>-5680967.5800000001</v>
          </cell>
          <cell r="AS275">
            <v>-1514178.95</v>
          </cell>
          <cell r="AT275">
            <v>-1592536.68</v>
          </cell>
          <cell r="AU275">
            <v>-2695894.41</v>
          </cell>
          <cell r="AV275">
            <v>-3799252.14</v>
          </cell>
          <cell r="AW275">
            <v>-4577609.87</v>
          </cell>
          <cell r="AX275">
            <v>-5680967.5999999996</v>
          </cell>
          <cell r="AY275">
            <v>-1514178.97</v>
          </cell>
          <cell r="AZ275">
            <v>-1592536.7</v>
          </cell>
          <cell r="BA275">
            <v>-2695894.43</v>
          </cell>
          <cell r="BB275">
            <v>-3799252.16</v>
          </cell>
          <cell r="BC275">
            <v>-4577609.8899999997</v>
          </cell>
          <cell r="BD275">
            <v>-5680967.6200000001</v>
          </cell>
          <cell r="BE275">
            <v>-1387095.26</v>
          </cell>
          <cell r="BF275">
            <v>-1211286.32</v>
          </cell>
          <cell r="BG275">
            <v>-2535268.9700000002</v>
          </cell>
          <cell r="BH275">
            <v>-3653210.03</v>
          </cell>
          <cell r="BI275">
            <v>-4446151.09</v>
          </cell>
          <cell r="BJ275">
            <v>-5644439.4100000001</v>
          </cell>
          <cell r="BK275">
            <v>-3109942.44</v>
          </cell>
          <cell r="BL275">
            <v>-1611425.16</v>
          </cell>
          <cell r="BM275">
            <v>-2822074.55</v>
          </cell>
          <cell r="BN275">
            <v>-4032723.94</v>
          </cell>
          <cell r="BO275">
            <v>-4918373.33</v>
          </cell>
          <cell r="BP275">
            <v>-6129022.7199999997</v>
          </cell>
          <cell r="BQ275">
            <v>-3594525.75</v>
          </cell>
          <cell r="BR275">
            <v>-1392015.42</v>
          </cell>
          <cell r="BS275">
            <v>-2622803.7000000002</v>
          </cell>
          <cell r="BT275">
            <v>-3908973.92</v>
          </cell>
          <cell r="BU275">
            <v>-4870144.1399999997</v>
          </cell>
          <cell r="BV275">
            <v>-6156314.3600000003</v>
          </cell>
          <cell r="BW275">
            <v>-3697338.22</v>
          </cell>
          <cell r="BX275">
            <v>-1434810.52</v>
          </cell>
          <cell r="BY275">
            <v>-2720980.74</v>
          </cell>
          <cell r="BZ275">
            <v>-4007150.96</v>
          </cell>
          <cell r="CA275">
            <v>-4963286.47</v>
          </cell>
          <cell r="CB275">
            <v>-6249456.6900000004</v>
          </cell>
          <cell r="CC275">
            <v>-3790480.55</v>
          </cell>
          <cell r="CD275">
            <v>-1429775.77</v>
          </cell>
          <cell r="CE275">
            <v>-2715945.99</v>
          </cell>
          <cell r="CF275">
            <v>-4002116.21</v>
          </cell>
          <cell r="CG275">
            <v>-4963286.43</v>
          </cell>
          <cell r="CH275">
            <v>-6249456.6500000004</v>
          </cell>
          <cell r="CI275">
            <v>-3790480.51</v>
          </cell>
          <cell r="CJ275">
            <v>-1429775.73</v>
          </cell>
          <cell r="CK275">
            <v>-2715945.95</v>
          </cell>
          <cell r="CL275">
            <v>-4002116.17</v>
          </cell>
          <cell r="CM275">
            <v>-5280973.8899999997</v>
          </cell>
          <cell r="CN275">
            <v>-7127769.1100000003</v>
          </cell>
          <cell r="CO275">
            <v>-5018976.91</v>
          </cell>
          <cell r="CP275">
            <v>-3113676.6</v>
          </cell>
          <cell r="CQ275">
            <v>-4750030.76</v>
          </cell>
          <cell r="CR275">
            <v>-6386384.9199999999</v>
          </cell>
          <cell r="CS275">
            <v>-4296614.08</v>
          </cell>
          <cell r="CT275">
            <v>-5932968.2400000002</v>
          </cell>
          <cell r="CU275">
            <v>-5086822.4000000004</v>
          </cell>
          <cell r="CV275">
            <v>-3076301.56</v>
          </cell>
          <cell r="CW275">
            <v>-4712655.72</v>
          </cell>
          <cell r="CX275">
            <v>-6349009.8799999999</v>
          </cell>
          <cell r="CY275">
            <v>-4296614.04</v>
          </cell>
          <cell r="CZ275">
            <v>-5932968.2000000002</v>
          </cell>
          <cell r="DA275">
            <v>-5086822.3600000003</v>
          </cell>
          <cell r="DB275">
            <v>-3076301.52</v>
          </cell>
          <cell r="DC275">
            <v>-4879061.93</v>
          </cell>
          <cell r="DD275">
            <v>-6792759.8399999999</v>
          </cell>
          <cell r="DE275">
            <v>-4990624.29</v>
          </cell>
          <cell r="DF275">
            <v>-6850155.5300000003</v>
          </cell>
          <cell r="DG275">
            <v>-6227186.7699999996</v>
          </cell>
          <cell r="DH275">
            <v>-4439843.01</v>
          </cell>
        </row>
        <row r="276">
          <cell r="A276" t="str">
            <v>2370900</v>
          </cell>
          <cell r="B276" t="str">
            <v>2370900</v>
          </cell>
          <cell r="C276" t="str">
            <v>Interest Acc-std (Is acct) calculation</v>
          </cell>
          <cell r="AC276">
            <v>0</v>
          </cell>
        </row>
        <row r="277">
          <cell r="A277" t="str">
            <v>2380720</v>
          </cell>
          <cell r="B277" t="str">
            <v>2380720</v>
          </cell>
          <cell r="C277" t="str">
            <v>Divid Pay IC Recon</v>
          </cell>
          <cell r="D277">
            <v>0</v>
          </cell>
          <cell r="E277">
            <v>-7357286.6799999997</v>
          </cell>
          <cell r="F277">
            <v>0</v>
          </cell>
          <cell r="G277">
            <v>0</v>
          </cell>
          <cell r="H277">
            <v>-11948603.68</v>
          </cell>
          <cell r="I277">
            <v>0</v>
          </cell>
          <cell r="J277">
            <v>0</v>
          </cell>
          <cell r="K277">
            <v>-9971893.4700000007</v>
          </cell>
          <cell r="L277">
            <v>0</v>
          </cell>
          <cell r="M277">
            <v>0</v>
          </cell>
          <cell r="N277">
            <v>-5874136.4699999997</v>
          </cell>
          <cell r="O277">
            <v>0</v>
          </cell>
          <cell r="P277">
            <v>0</v>
          </cell>
          <cell r="Q277">
            <v>0</v>
          </cell>
          <cell r="R277">
            <v>-6579361.9699999997</v>
          </cell>
          <cell r="S277">
            <v>0</v>
          </cell>
          <cell r="T277">
            <v>-14236193.27</v>
          </cell>
          <cell r="U277">
            <v>0</v>
          </cell>
          <cell r="V277">
            <v>0</v>
          </cell>
          <cell r="W277">
            <v>-8836348.5500000007</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-15456143.34</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-27095926</v>
          </cell>
          <cell r="CO277">
            <v>0</v>
          </cell>
          <cell r="CP277">
            <v>0</v>
          </cell>
          <cell r="CQ277">
            <v>0</v>
          </cell>
          <cell r="CR277">
            <v>0</v>
          </cell>
          <cell r="CS277">
            <v>0</v>
          </cell>
          <cell r="CT277">
            <v>0</v>
          </cell>
          <cell r="CU277">
            <v>0</v>
          </cell>
          <cell r="CV277">
            <v>0</v>
          </cell>
          <cell r="CW277">
            <v>0</v>
          </cell>
          <cell r="CX277">
            <v>0</v>
          </cell>
          <cell r="CY277">
            <v>0</v>
          </cell>
          <cell r="CZ277">
            <v>-29543003</v>
          </cell>
          <cell r="DA277">
            <v>0</v>
          </cell>
          <cell r="DB277">
            <v>0</v>
          </cell>
          <cell r="DC277">
            <v>0</v>
          </cell>
          <cell r="DD277">
            <v>0</v>
          </cell>
          <cell r="DE277">
            <v>0</v>
          </cell>
          <cell r="DF277">
            <v>-16227366</v>
          </cell>
          <cell r="DG277">
            <v>0</v>
          </cell>
          <cell r="DH277">
            <v>0</v>
          </cell>
        </row>
        <row r="278">
          <cell r="A278" t="str">
            <v>2410000</v>
          </cell>
          <cell r="B278" t="str">
            <v>2410000</v>
          </cell>
          <cell r="C278" t="str">
            <v>Sales Use Pay CIS</v>
          </cell>
          <cell r="AO278">
            <v>-168314.57</v>
          </cell>
          <cell r="AP278">
            <v>-171951.76</v>
          </cell>
          <cell r="AQ278">
            <v>-163248.23000000001</v>
          </cell>
          <cell r="AR278">
            <v>-165616.57</v>
          </cell>
          <cell r="AS278">
            <v>-147292.25</v>
          </cell>
          <cell r="AT278">
            <v>-142846.66</v>
          </cell>
          <cell r="AU278">
            <v>-132652.81</v>
          </cell>
          <cell r="AV278">
            <v>-132880.37</v>
          </cell>
          <cell r="AW278">
            <v>-147507.72</v>
          </cell>
          <cell r="AX278">
            <v>-148372.32999999999</v>
          </cell>
          <cell r="AY278">
            <v>-176301.59</v>
          </cell>
          <cell r="AZ278">
            <v>-206709.26</v>
          </cell>
          <cell r="BA278">
            <v>-260773.49</v>
          </cell>
          <cell r="BB278">
            <v>-226971.34</v>
          </cell>
          <cell r="BC278">
            <v>-193726.94</v>
          </cell>
          <cell r="BD278">
            <v>-203810.62</v>
          </cell>
          <cell r="BE278">
            <v>-170174.79</v>
          </cell>
          <cell r="BF278">
            <v>-183684.78</v>
          </cell>
          <cell r="BG278">
            <v>-163278.59</v>
          </cell>
          <cell r="BH278">
            <v>-154735.54999999999</v>
          </cell>
          <cell r="BI278">
            <v>-163726.74</v>
          </cell>
          <cell r="BJ278">
            <v>-145895.70000000001</v>
          </cell>
          <cell r="BK278">
            <v>-164517.29999999999</v>
          </cell>
          <cell r="BL278">
            <v>-182878.03</v>
          </cell>
          <cell r="BM278">
            <v>-253618.02</v>
          </cell>
          <cell r="BN278">
            <v>-223317.9</v>
          </cell>
          <cell r="BO278">
            <v>-224227.29</v>
          </cell>
          <cell r="BP278">
            <v>-217468.6</v>
          </cell>
          <cell r="BQ278">
            <v>-179957.41</v>
          </cell>
          <cell r="BR278">
            <v>-182662.09</v>
          </cell>
          <cell r="BS278">
            <v>-165086.78</v>
          </cell>
          <cell r="BT278">
            <v>-139667.26</v>
          </cell>
          <cell r="BU278">
            <v>-160107.17000000001</v>
          </cell>
          <cell r="BV278">
            <v>-128709.69</v>
          </cell>
          <cell r="BW278">
            <v>-177017.73</v>
          </cell>
          <cell r="BX278">
            <v>-217572.58</v>
          </cell>
          <cell r="BY278">
            <v>-244523.54</v>
          </cell>
          <cell r="BZ278">
            <v>-239660.14</v>
          </cell>
          <cell r="CA278">
            <v>-226159.21</v>
          </cell>
          <cell r="CB278">
            <v>-201399.64</v>
          </cell>
          <cell r="CC278">
            <v>-180304.79</v>
          </cell>
          <cell r="CD278">
            <v>-97020.479999999996</v>
          </cell>
          <cell r="CE278">
            <v>-154364.32</v>
          </cell>
          <cell r="CF278">
            <v>-138434.73000000001</v>
          </cell>
          <cell r="CG278">
            <v>-122016.18</v>
          </cell>
          <cell r="CH278">
            <v>-154882.34</v>
          </cell>
          <cell r="CI278">
            <v>-187704.98</v>
          </cell>
          <cell r="CJ278">
            <v>-195262.16</v>
          </cell>
          <cell r="CK278">
            <v>-307483.71000000002</v>
          </cell>
          <cell r="CL278">
            <v>-283327.83</v>
          </cell>
          <cell r="CM278">
            <v>-287392</v>
          </cell>
          <cell r="CN278">
            <v>-296618.06</v>
          </cell>
          <cell r="CO278">
            <v>-233549.36</v>
          </cell>
          <cell r="CP278">
            <v>-236915.85</v>
          </cell>
          <cell r="CQ278">
            <v>-244282.81</v>
          </cell>
          <cell r="CR278">
            <v>-226126.66</v>
          </cell>
          <cell r="CS278">
            <v>-275230.69</v>
          </cell>
          <cell r="CT278">
            <v>-218769.31</v>
          </cell>
          <cell r="CU278">
            <v>-252449.51</v>
          </cell>
          <cell r="CV278">
            <v>-304771.88</v>
          </cell>
          <cell r="CW278">
            <v>-359011.41</v>
          </cell>
          <cell r="CX278">
            <v>-374624.55</v>
          </cell>
          <cell r="CY278">
            <v>-352580.33</v>
          </cell>
          <cell r="CZ278">
            <v>-322237.13</v>
          </cell>
          <cell r="DA278">
            <v>-304323.78999999998</v>
          </cell>
          <cell r="DB278">
            <v>-333781.69</v>
          </cell>
          <cell r="DC278">
            <v>-226707.73</v>
          </cell>
          <cell r="DD278">
            <v>-334409.34999999998</v>
          </cell>
          <cell r="DE278">
            <v>-356359.87</v>
          </cell>
          <cell r="DF278">
            <v>-366766.09</v>
          </cell>
          <cell r="DG278">
            <v>-273165.13</v>
          </cell>
          <cell r="DH278">
            <v>-289899.77</v>
          </cell>
        </row>
        <row r="279">
          <cell r="A279" t="str">
            <v>2410005</v>
          </cell>
          <cell r="B279" t="str">
            <v>2410005</v>
          </cell>
          <cell r="C279" t="str">
            <v>Sales Surtax Pay CIS</v>
          </cell>
          <cell r="AO279">
            <v>-19844.009999999998</v>
          </cell>
          <cell r="AP279">
            <v>-20029.97</v>
          </cell>
          <cell r="AQ279">
            <v>-19443.93</v>
          </cell>
          <cell r="AR279">
            <v>-19125.689999999999</v>
          </cell>
          <cell r="AS279">
            <v>-18313.5</v>
          </cell>
          <cell r="AT279">
            <v>-16942.849999999999</v>
          </cell>
          <cell r="AU279">
            <v>-15653.96</v>
          </cell>
          <cell r="AV279">
            <v>-15111.77</v>
          </cell>
          <cell r="AW279">
            <v>-17277.03</v>
          </cell>
          <cell r="AX279">
            <v>-17290.93</v>
          </cell>
          <cell r="AY279">
            <v>-18709.61</v>
          </cell>
          <cell r="AZ279">
            <v>-25030.93</v>
          </cell>
          <cell r="BA279">
            <v>-28965.759999999998</v>
          </cell>
          <cell r="BB279">
            <v>-27202.69</v>
          </cell>
          <cell r="BC279">
            <v>-22671.68</v>
          </cell>
          <cell r="BD279">
            <v>-23589.77</v>
          </cell>
          <cell r="BE279">
            <v>-20792.96</v>
          </cell>
          <cell r="BF279">
            <v>-20307.59</v>
          </cell>
          <cell r="BG279">
            <v>-18996.009999999998</v>
          </cell>
          <cell r="BH279">
            <v>-18267.73</v>
          </cell>
          <cell r="BI279">
            <v>-19755.48</v>
          </cell>
          <cell r="BJ279">
            <v>-17389.3</v>
          </cell>
          <cell r="BK279">
            <v>-18633.79</v>
          </cell>
          <cell r="BL279">
            <v>-21912.99</v>
          </cell>
          <cell r="BM279">
            <v>-32961.339999999997</v>
          </cell>
          <cell r="BN279">
            <v>-36675.64</v>
          </cell>
          <cell r="BO279">
            <v>-35101.14</v>
          </cell>
          <cell r="BP279">
            <v>-36430.230000000003</v>
          </cell>
          <cell r="BQ279">
            <v>-33594.33</v>
          </cell>
          <cell r="BR279">
            <v>-31748.3</v>
          </cell>
          <cell r="BS279">
            <v>-28405.040000000001</v>
          </cell>
          <cell r="BT279">
            <v>-26495.040000000001</v>
          </cell>
          <cell r="BU279">
            <v>-29105.89</v>
          </cell>
          <cell r="BV279">
            <v>-27767.98</v>
          </cell>
          <cell r="BW279">
            <v>-31057.54</v>
          </cell>
          <cell r="BX279">
            <v>-37295.379999999997</v>
          </cell>
          <cell r="BY279">
            <v>-39390.39</v>
          </cell>
          <cell r="BZ279">
            <v>-37526.46</v>
          </cell>
          <cell r="CA279">
            <v>-34791.42</v>
          </cell>
          <cell r="CB279">
            <v>-25007.32</v>
          </cell>
          <cell r="CC279">
            <v>-21738.98</v>
          </cell>
          <cell r="CD279">
            <v>-25592.09</v>
          </cell>
          <cell r="CE279">
            <v>-25564.05</v>
          </cell>
          <cell r="CF279">
            <v>-26416.23</v>
          </cell>
          <cell r="CG279">
            <v>-26151.85</v>
          </cell>
          <cell r="CH279">
            <v>-27892.04</v>
          </cell>
          <cell r="CI279">
            <v>-33275.96</v>
          </cell>
          <cell r="CJ279">
            <v>-36909.29</v>
          </cell>
          <cell r="CK279">
            <v>-50530.31</v>
          </cell>
          <cell r="CL279">
            <v>-48241.22</v>
          </cell>
          <cell r="CM279">
            <v>-47258.95</v>
          </cell>
          <cell r="CN279">
            <v>-44107.13</v>
          </cell>
          <cell r="CO279">
            <v>-40231.919999999998</v>
          </cell>
          <cell r="CP279">
            <v>-37392.339999999997</v>
          </cell>
          <cell r="CQ279">
            <v>-39802.69</v>
          </cell>
          <cell r="CR279">
            <v>-37509.160000000003</v>
          </cell>
          <cell r="CS279">
            <v>-38830.21</v>
          </cell>
          <cell r="CT279">
            <v>-36818.86</v>
          </cell>
          <cell r="CU279">
            <v>-39728.519999999997</v>
          </cell>
          <cell r="CV279">
            <v>-46833.32</v>
          </cell>
          <cell r="CW279">
            <v>-54454.080000000002</v>
          </cell>
          <cell r="CX279">
            <v>-56014.39</v>
          </cell>
          <cell r="CY279">
            <v>-52720.9</v>
          </cell>
          <cell r="CZ279">
            <v>-50027.94</v>
          </cell>
          <cell r="DA279">
            <v>-48356.43</v>
          </cell>
          <cell r="DB279">
            <v>-45248.95</v>
          </cell>
          <cell r="DC279">
            <v>-41048.15</v>
          </cell>
          <cell r="DD279">
            <v>-52889.34</v>
          </cell>
          <cell r="DE279">
            <v>-55338.96</v>
          </cell>
          <cell r="DF279">
            <v>-54038.11</v>
          </cell>
          <cell r="DG279">
            <v>-41947.92</v>
          </cell>
          <cell r="DH279">
            <v>-46338.32</v>
          </cell>
        </row>
        <row r="280">
          <cell r="A280" t="str">
            <v>2410300</v>
          </cell>
          <cell r="B280" t="str">
            <v>2410300</v>
          </cell>
          <cell r="C280" t="str">
            <v>Sales Use Pay AP</v>
          </cell>
          <cell r="D280">
            <v>-69907.19</v>
          </cell>
          <cell r="E280">
            <v>-156548.42000000001</v>
          </cell>
          <cell r="F280">
            <v>-150854.56</v>
          </cell>
          <cell r="G280">
            <v>-114202.8</v>
          </cell>
          <cell r="H280">
            <v>-74791.25</v>
          </cell>
          <cell r="I280">
            <v>-79891.820000000007</v>
          </cell>
          <cell r="J280">
            <v>-78038.179999999993</v>
          </cell>
          <cell r="K280">
            <v>-97653.46</v>
          </cell>
          <cell r="L280">
            <v>-62799.38</v>
          </cell>
          <cell r="M280">
            <v>-71085.62</v>
          </cell>
          <cell r="N280">
            <v>-89830.31</v>
          </cell>
          <cell r="O280">
            <v>-68679.039999999994</v>
          </cell>
          <cell r="P280">
            <v>-96949.88</v>
          </cell>
          <cell r="Q280">
            <v>-156303.9</v>
          </cell>
          <cell r="R280">
            <v>-129811.69</v>
          </cell>
          <cell r="S280">
            <v>-119378.06</v>
          </cell>
          <cell r="T280">
            <v>-76758.02</v>
          </cell>
          <cell r="U280">
            <v>-57473.67</v>
          </cell>
          <cell r="V280">
            <v>-91045.61</v>
          </cell>
          <cell r="W280">
            <v>-69265.789999999994</v>
          </cell>
          <cell r="X280">
            <v>-65242.49</v>
          </cell>
          <cell r="Y280">
            <v>-49779.03</v>
          </cell>
          <cell r="Z280">
            <v>-46604.5</v>
          </cell>
          <cell r="AA280">
            <v>-58486.25</v>
          </cell>
          <cell r="AB280">
            <v>-133482.54</v>
          </cell>
          <cell r="AC280">
            <v>-121541.71</v>
          </cell>
          <cell r="AD280">
            <v>-126079.29</v>
          </cell>
          <cell r="AE280">
            <v>-112713.57</v>
          </cell>
          <cell r="AF280">
            <v>-118897.95</v>
          </cell>
          <cell r="AG280">
            <v>-70837.72</v>
          </cell>
          <cell r="AH280">
            <v>-51725.64</v>
          </cell>
          <cell r="AI280">
            <v>-53249.04</v>
          </cell>
          <cell r="AJ280">
            <v>-44253.51</v>
          </cell>
          <cell r="AK280">
            <v>-44467.360000000001</v>
          </cell>
          <cell r="AL280">
            <v>-54250.16</v>
          </cell>
          <cell r="AM280">
            <v>-57650.68</v>
          </cell>
          <cell r="AN280">
            <v>-92656.08</v>
          </cell>
          <cell r="AO280">
            <v>96196.49</v>
          </cell>
          <cell r="AP280">
            <v>89470.8</v>
          </cell>
          <cell r="AQ280">
            <v>93405.08</v>
          </cell>
          <cell r="AR280">
            <v>89557.14</v>
          </cell>
          <cell r="AS280">
            <v>86139.5</v>
          </cell>
          <cell r="AT280">
            <v>95076.03</v>
          </cell>
          <cell r="AU280">
            <v>96267.65</v>
          </cell>
          <cell r="AV280">
            <v>87177.43</v>
          </cell>
          <cell r="AW280">
            <v>92491.199999999997</v>
          </cell>
          <cell r="AX280">
            <v>81418.8</v>
          </cell>
          <cell r="AY280">
            <v>85182.69</v>
          </cell>
          <cell r="AZ280">
            <v>92433.67</v>
          </cell>
          <cell r="BA280">
            <v>94052.75</v>
          </cell>
          <cell r="BB280">
            <v>85958.14</v>
          </cell>
          <cell r="BC280">
            <v>37810.93</v>
          </cell>
          <cell r="BD280">
            <v>98073.21</v>
          </cell>
          <cell r="BE280">
            <v>91420.11</v>
          </cell>
          <cell r="BF280">
            <v>65386.52</v>
          </cell>
          <cell r="BG280">
            <v>97470.9</v>
          </cell>
          <cell r="BH280">
            <v>66591.66</v>
          </cell>
          <cell r="BI280">
            <v>130587.97</v>
          </cell>
          <cell r="BJ280">
            <v>97343.72</v>
          </cell>
          <cell r="BK280">
            <v>98487.43</v>
          </cell>
          <cell r="BL280">
            <v>81339.539999999994</v>
          </cell>
          <cell r="BM280">
            <v>106153.02</v>
          </cell>
          <cell r="BN280">
            <v>100386.3</v>
          </cell>
          <cell r="BO280">
            <v>111300.77</v>
          </cell>
          <cell r="BP280">
            <v>115828.87</v>
          </cell>
          <cell r="BQ280">
            <v>110736.96000000001</v>
          </cell>
          <cell r="BR280">
            <v>92758.8</v>
          </cell>
          <cell r="BS280">
            <v>97976.78</v>
          </cell>
          <cell r="BT280">
            <v>106357.28</v>
          </cell>
          <cell r="BU280">
            <v>113235.44</v>
          </cell>
          <cell r="BV280">
            <v>102450.15</v>
          </cell>
          <cell r="BW280">
            <v>119725.72</v>
          </cell>
          <cell r="BX280">
            <v>107837.63</v>
          </cell>
          <cell r="BY280">
            <v>116928.46</v>
          </cell>
          <cell r="BZ280">
            <v>116913.24</v>
          </cell>
          <cell r="CA280">
            <v>114302.61</v>
          </cell>
          <cell r="CB280">
            <v>119017.74</v>
          </cell>
          <cell r="CC280">
            <v>111763.21</v>
          </cell>
          <cell r="CD280">
            <v>116028.57</v>
          </cell>
          <cell r="CE280">
            <v>118333.16</v>
          </cell>
          <cell r="CF280">
            <v>118425.74</v>
          </cell>
          <cell r="CG280">
            <v>117826.02</v>
          </cell>
          <cell r="CH280">
            <v>117096.31</v>
          </cell>
          <cell r="CI280">
            <v>119213.88</v>
          </cell>
          <cell r="CJ280">
            <v>118208.71</v>
          </cell>
          <cell r="CK280">
            <v>104766.53</v>
          </cell>
          <cell r="CL280">
            <v>103422.08</v>
          </cell>
          <cell r="CM280">
            <v>109351.06</v>
          </cell>
          <cell r="CN280">
            <v>107445.77</v>
          </cell>
          <cell r="CO280">
            <v>100384.1</v>
          </cell>
          <cell r="CP280">
            <v>106951.61</v>
          </cell>
          <cell r="CQ280">
            <v>108243.06</v>
          </cell>
          <cell r="CR280">
            <v>107194.5</v>
          </cell>
          <cell r="CS280">
            <v>104944.11</v>
          </cell>
          <cell r="CT280">
            <v>109406.43</v>
          </cell>
          <cell r="CU280">
            <v>109275.24</v>
          </cell>
          <cell r="CV280">
            <v>110528.94</v>
          </cell>
          <cell r="CW280">
            <v>156738.12</v>
          </cell>
          <cell r="CX280">
            <v>158887.78</v>
          </cell>
          <cell r="CY280">
            <v>160323.44</v>
          </cell>
          <cell r="CZ280">
            <v>160418.29</v>
          </cell>
          <cell r="DA280">
            <v>152162.62</v>
          </cell>
          <cell r="DB280">
            <v>150702.63</v>
          </cell>
          <cell r="DC280">
            <v>160183.23000000001</v>
          </cell>
          <cell r="DD280">
            <v>159354.13</v>
          </cell>
          <cell r="DE280">
            <v>160268.32999999999</v>
          </cell>
          <cell r="DF280">
            <v>159472.07</v>
          </cell>
          <cell r="DG280">
            <v>160419.47</v>
          </cell>
          <cell r="DH280">
            <v>160367.88</v>
          </cell>
        </row>
        <row r="281">
          <cell r="A281" t="str">
            <v>2410305</v>
          </cell>
          <cell r="B281" t="str">
            <v>2410305</v>
          </cell>
          <cell r="C281" t="str">
            <v>Sales Surtax Pay AP</v>
          </cell>
          <cell r="D281">
            <v>-777.26</v>
          </cell>
          <cell r="E281">
            <v>-625.29999999999995</v>
          </cell>
          <cell r="F281">
            <v>-1004.13</v>
          </cell>
          <cell r="G281">
            <v>-840.44</v>
          </cell>
          <cell r="H281">
            <v>-768.4</v>
          </cell>
          <cell r="I281">
            <v>-1033.68</v>
          </cell>
          <cell r="J281">
            <v>-554.46</v>
          </cell>
          <cell r="K281">
            <v>-1419.25</v>
          </cell>
          <cell r="L281">
            <v>-769.73</v>
          </cell>
          <cell r="M281">
            <v>-761.53</v>
          </cell>
          <cell r="N281">
            <v>-1274</v>
          </cell>
          <cell r="O281">
            <v>-490.22</v>
          </cell>
          <cell r="P281">
            <v>-1117.07</v>
          </cell>
          <cell r="Q281">
            <v>-833.52</v>
          </cell>
          <cell r="R281">
            <v>-618.49</v>
          </cell>
          <cell r="S281">
            <v>-1029.05</v>
          </cell>
          <cell r="T281">
            <v>-832.95</v>
          </cell>
          <cell r="U281">
            <v>-593.79</v>
          </cell>
          <cell r="V281">
            <v>-789.58</v>
          </cell>
          <cell r="W281">
            <v>-1151.5899999999999</v>
          </cell>
          <cell r="X281">
            <v>-452.7</v>
          </cell>
          <cell r="Y281">
            <v>-940.21</v>
          </cell>
          <cell r="Z281">
            <v>-976.8</v>
          </cell>
          <cell r="AA281">
            <v>-885.75</v>
          </cell>
          <cell r="AB281">
            <v>-2072.61</v>
          </cell>
          <cell r="AC281">
            <v>-913.75</v>
          </cell>
          <cell r="AD281">
            <v>-685.75</v>
          </cell>
          <cell r="AE281">
            <v>-1576.18</v>
          </cell>
          <cell r="AF281">
            <v>-1820.99</v>
          </cell>
          <cell r="AG281">
            <v>-667.48</v>
          </cell>
          <cell r="AH281">
            <v>-1555.43</v>
          </cell>
          <cell r="AI281">
            <v>-773.77</v>
          </cell>
          <cell r="AJ281">
            <v>-1080.1500000000001</v>
          </cell>
          <cell r="AK281">
            <v>-1583.04</v>
          </cell>
          <cell r="AL281">
            <v>-2612.29</v>
          </cell>
          <cell r="AM281">
            <v>-1972.28</v>
          </cell>
          <cell r="AN281">
            <v>-3015.72</v>
          </cell>
          <cell r="AO281">
            <v>-637.22</v>
          </cell>
          <cell r="AP281">
            <v>-1893.27</v>
          </cell>
          <cell r="AQ281">
            <v>-1203.74</v>
          </cell>
          <cell r="AR281">
            <v>-1257.3399999999999</v>
          </cell>
          <cell r="AS281">
            <v>-2418.12</v>
          </cell>
          <cell r="AT281">
            <v>-1041.5999999999999</v>
          </cell>
          <cell r="AU281">
            <v>-908.12</v>
          </cell>
          <cell r="AV281">
            <v>-1109.1099999999999</v>
          </cell>
          <cell r="AW281">
            <v>-1228.4100000000001</v>
          </cell>
          <cell r="AX281">
            <v>-1612.83</v>
          </cell>
          <cell r="AY281">
            <v>-1028.56</v>
          </cell>
          <cell r="AZ281">
            <v>-1321.9</v>
          </cell>
          <cell r="BA281">
            <v>-915.21</v>
          </cell>
          <cell r="BB281">
            <v>-739.03</v>
          </cell>
          <cell r="BC281">
            <v>-1065.3599999999999</v>
          </cell>
          <cell r="BD281">
            <v>-493.35</v>
          </cell>
          <cell r="BE281">
            <v>-1441</v>
          </cell>
          <cell r="BF281">
            <v>-1408.6</v>
          </cell>
          <cell r="BG281">
            <v>-618.16</v>
          </cell>
          <cell r="BH281">
            <v>-849.03</v>
          </cell>
          <cell r="BI281">
            <v>-501.88</v>
          </cell>
          <cell r="BJ281">
            <v>-303.74</v>
          </cell>
          <cell r="BK281">
            <v>-507.97</v>
          </cell>
          <cell r="BL281">
            <v>-1744.34</v>
          </cell>
          <cell r="BM281">
            <v>-1507.29</v>
          </cell>
          <cell r="BN281">
            <v>-1827.45</v>
          </cell>
          <cell r="BO281">
            <v>-1133.6500000000001</v>
          </cell>
          <cell r="BP281">
            <v>-720.05</v>
          </cell>
          <cell r="BQ281">
            <v>-1555.92</v>
          </cell>
          <cell r="BR281">
            <v>-2024.93</v>
          </cell>
          <cell r="BS281">
            <v>-1589.92</v>
          </cell>
          <cell r="BT281">
            <v>-2756.45</v>
          </cell>
          <cell r="BU281">
            <v>-1181.1300000000001</v>
          </cell>
          <cell r="BV281">
            <v>-2836.98</v>
          </cell>
          <cell r="BW281">
            <v>-942.23</v>
          </cell>
          <cell r="BX281">
            <v>-2045.61</v>
          </cell>
          <cell r="BY281">
            <v>-672.7</v>
          </cell>
          <cell r="BZ281">
            <v>-1041.8</v>
          </cell>
          <cell r="CA281">
            <v>-1909.29</v>
          </cell>
          <cell r="CB281">
            <v>-281.52999999999997</v>
          </cell>
          <cell r="CC281">
            <v>-1442.17</v>
          </cell>
          <cell r="CD281">
            <v>-871.98</v>
          </cell>
          <cell r="CE281">
            <v>-509.92</v>
          </cell>
          <cell r="CF281">
            <v>-400.69</v>
          </cell>
          <cell r="CG281">
            <v>-611.38</v>
          </cell>
          <cell r="CH281">
            <v>-484.04</v>
          </cell>
          <cell r="CI281">
            <v>-103.4</v>
          </cell>
          <cell r="CJ281">
            <v>-476.48</v>
          </cell>
          <cell r="CK281">
            <v>-1223.51</v>
          </cell>
          <cell r="CL281">
            <v>-1298.33</v>
          </cell>
          <cell r="CM281">
            <v>-94.17</v>
          </cell>
          <cell r="CN281">
            <v>-567.76</v>
          </cell>
          <cell r="CO281">
            <v>-1713.04</v>
          </cell>
          <cell r="CP281">
            <v>-340.73</v>
          </cell>
          <cell r="CQ281">
            <v>-332.99</v>
          </cell>
          <cell r="CR281">
            <v>-535.25</v>
          </cell>
          <cell r="CS281">
            <v>-1028.44</v>
          </cell>
          <cell r="CT281">
            <v>-190.28</v>
          </cell>
          <cell r="CU281">
            <v>-236.66</v>
          </cell>
          <cell r="CV281">
            <v>-52.54</v>
          </cell>
          <cell r="CW281">
            <v>-201.16</v>
          </cell>
          <cell r="CX281">
            <v>-401.67</v>
          </cell>
          <cell r="CY281">
            <v>-119.19</v>
          </cell>
          <cell r="CZ281">
            <v>-103.42</v>
          </cell>
          <cell r="DA281">
            <v>-1492.62</v>
          </cell>
          <cell r="DB281">
            <v>-2401.35</v>
          </cell>
          <cell r="DC281">
            <v>-136.94</v>
          </cell>
          <cell r="DD281">
            <v>-180.65</v>
          </cell>
          <cell r="DE281">
            <v>-116.55</v>
          </cell>
          <cell r="DF281">
            <v>-321.04000000000002</v>
          </cell>
          <cell r="DG281">
            <v>-96.09</v>
          </cell>
          <cell r="DH281">
            <v>-117.66</v>
          </cell>
        </row>
        <row r="282">
          <cell r="A282" t="str">
            <v>2410310</v>
          </cell>
          <cell r="B282" t="str">
            <v>2410310</v>
          </cell>
          <cell r="C282" t="str">
            <v>Utility Tax Pay</v>
          </cell>
          <cell r="D282">
            <v>-542392.98</v>
          </cell>
          <cell r="E282">
            <v>-678199.9</v>
          </cell>
          <cell r="F282">
            <v>-704640.93</v>
          </cell>
          <cell r="G282">
            <v>-606297.94999999995</v>
          </cell>
          <cell r="H282">
            <v>-567480.93000000005</v>
          </cell>
          <cell r="I282">
            <v>-507300.9</v>
          </cell>
          <cell r="J282">
            <v>-491443.08</v>
          </cell>
          <cell r="K282">
            <v>-474832.81</v>
          </cell>
          <cell r="L282">
            <v>-456317.76</v>
          </cell>
          <cell r="M282">
            <v>-469837.61</v>
          </cell>
          <cell r="N282">
            <v>-473737.69</v>
          </cell>
          <cell r="O282">
            <v>-512637.74</v>
          </cell>
          <cell r="P282">
            <v>-605889.87</v>
          </cell>
          <cell r="Q282">
            <v>-663021.87</v>
          </cell>
          <cell r="R282">
            <v>-689491.17</v>
          </cell>
          <cell r="S282">
            <v>-655810.24</v>
          </cell>
          <cell r="T282">
            <v>-547773.07999999996</v>
          </cell>
          <cell r="U282">
            <v>-489320.45</v>
          </cell>
          <cell r="V282">
            <v>-496516.37</v>
          </cell>
          <cell r="W282">
            <v>-474977.78</v>
          </cell>
          <cell r="X282">
            <v>-475418.74</v>
          </cell>
          <cell r="Y282">
            <v>-469884.61</v>
          </cell>
          <cell r="Z282">
            <v>-474953.31</v>
          </cell>
          <cell r="AA282">
            <v>-503945.4</v>
          </cell>
          <cell r="AB282">
            <v>-536871.6</v>
          </cell>
          <cell r="AC282">
            <v>-620992.07999999996</v>
          </cell>
          <cell r="AD282">
            <v>-679960.58</v>
          </cell>
          <cell r="AE282">
            <v>-610971.85</v>
          </cell>
          <cell r="AF282">
            <v>-557247.1</v>
          </cell>
          <cell r="AG282">
            <v>-510814.34</v>
          </cell>
          <cell r="AH282">
            <v>-482258.93</v>
          </cell>
          <cell r="AI282">
            <v>-456056.77</v>
          </cell>
          <cell r="AJ282">
            <v>-452052.07</v>
          </cell>
          <cell r="AK282">
            <v>-458733.97</v>
          </cell>
          <cell r="AL282">
            <v>-457940.38</v>
          </cell>
          <cell r="AM282">
            <v>-492684.15</v>
          </cell>
          <cell r="AN282">
            <v>-553755.96</v>
          </cell>
          <cell r="AO282">
            <v>-609008.6</v>
          </cell>
          <cell r="AP282">
            <v>-599429.57999999996</v>
          </cell>
          <cell r="AQ282">
            <v>-570708.52</v>
          </cell>
          <cell r="AR282">
            <v>-561722.52</v>
          </cell>
          <cell r="AS282">
            <v>-531060.26</v>
          </cell>
          <cell r="AT282">
            <v>-495334.31</v>
          </cell>
          <cell r="AU282">
            <v>-472143.13</v>
          </cell>
          <cell r="AV282">
            <v>-474544.38</v>
          </cell>
          <cell r="AW282">
            <v>-478934.95</v>
          </cell>
          <cell r="AX282">
            <v>-480143.37</v>
          </cell>
          <cell r="AY282">
            <v>-520964.91</v>
          </cell>
          <cell r="AZ282">
            <v>-586685.89</v>
          </cell>
          <cell r="BA282">
            <v>-772605.89</v>
          </cell>
          <cell r="BB282">
            <v>-712404.27</v>
          </cell>
          <cell r="BC282">
            <v>-611026.55000000005</v>
          </cell>
          <cell r="BD282">
            <v>-619917.13</v>
          </cell>
          <cell r="BE282">
            <v>-551982.21</v>
          </cell>
          <cell r="BF282">
            <v>-554212.87</v>
          </cell>
          <cell r="BG282">
            <v>-514523.65</v>
          </cell>
          <cell r="BH282">
            <v>-490971.46</v>
          </cell>
          <cell r="BI282">
            <v>-512414.34</v>
          </cell>
          <cell r="BJ282">
            <v>-497637.84</v>
          </cell>
          <cell r="BK282">
            <v>-515649.91</v>
          </cell>
          <cell r="BL282">
            <v>-636824.75</v>
          </cell>
          <cell r="BM282">
            <v>-700557.82</v>
          </cell>
          <cell r="BN282">
            <v>-706111.81</v>
          </cell>
          <cell r="BO282">
            <v>-618934.13</v>
          </cell>
          <cell r="BP282">
            <v>-663539.47</v>
          </cell>
          <cell r="BQ282">
            <v>-550794.46</v>
          </cell>
          <cell r="BR282">
            <v>-474301.13</v>
          </cell>
          <cell r="BS282">
            <v>-418580.15</v>
          </cell>
          <cell r="BT282">
            <v>-457468.46</v>
          </cell>
          <cell r="BU282">
            <v>-386761.47</v>
          </cell>
          <cell r="BV282">
            <v>-432930.49</v>
          </cell>
          <cell r="BW282">
            <v>-501740.18</v>
          </cell>
          <cell r="BX282">
            <v>-678622.24</v>
          </cell>
          <cell r="BY282">
            <v>-698280.48</v>
          </cell>
          <cell r="BZ282">
            <v>-693121.89</v>
          </cell>
          <cell r="CA282">
            <v>-671310.8</v>
          </cell>
          <cell r="CB282">
            <v>-614010.65</v>
          </cell>
          <cell r="CC282">
            <v>-581147.82999999996</v>
          </cell>
          <cell r="CD282">
            <v>-542762.18000000005</v>
          </cell>
          <cell r="CE282">
            <v>-534973.47</v>
          </cell>
          <cell r="CF282">
            <v>-533139.57999999996</v>
          </cell>
          <cell r="CG282">
            <v>-505920.02</v>
          </cell>
          <cell r="CH282">
            <v>-511080.81</v>
          </cell>
          <cell r="CI282">
            <v>-568805.32999999996</v>
          </cell>
          <cell r="CJ282">
            <v>-650483.44999999995</v>
          </cell>
          <cell r="CK282">
            <v>-894971.47</v>
          </cell>
          <cell r="CL282">
            <v>-938242.02</v>
          </cell>
          <cell r="CM282">
            <v>-781279.02</v>
          </cell>
          <cell r="CN282">
            <v>-779951.15</v>
          </cell>
          <cell r="CO282">
            <v>-703198.35</v>
          </cell>
          <cell r="CP282">
            <v>-670080.13</v>
          </cell>
          <cell r="CQ282">
            <v>-661277.42000000004</v>
          </cell>
          <cell r="CR282">
            <v>-641864.15</v>
          </cell>
          <cell r="CS282">
            <v>-664611.75</v>
          </cell>
          <cell r="CT282">
            <v>-640175.91</v>
          </cell>
          <cell r="CU282">
            <v>-706933.98</v>
          </cell>
          <cell r="CV282">
            <v>-813263.62</v>
          </cell>
          <cell r="CW282">
            <v>-881265.14</v>
          </cell>
          <cell r="CX282">
            <v>-998729.98</v>
          </cell>
          <cell r="CY282">
            <v>-849043.82</v>
          </cell>
          <cell r="CZ282">
            <v>-799040.97</v>
          </cell>
          <cell r="DA282">
            <v>-754376.93</v>
          </cell>
          <cell r="DB282">
            <v>-730575.12</v>
          </cell>
          <cell r="DC282">
            <v>-659670.26</v>
          </cell>
          <cell r="DD282">
            <v>-681686.24</v>
          </cell>
          <cell r="DE282">
            <v>-696897.32</v>
          </cell>
          <cell r="DF282">
            <v>-729615.23</v>
          </cell>
          <cell r="DG282">
            <v>-739959</v>
          </cell>
          <cell r="DH282">
            <v>-819818.6</v>
          </cell>
        </row>
        <row r="283">
          <cell r="A283" t="str">
            <v>2410320</v>
          </cell>
          <cell r="B283" t="str">
            <v>2410320</v>
          </cell>
          <cell r="C283" t="str">
            <v>FICA Tax Pay Emplyee</v>
          </cell>
          <cell r="D283">
            <v>-89.55</v>
          </cell>
          <cell r="E283">
            <v>-239732.56</v>
          </cell>
          <cell r="F283">
            <v>-89.55</v>
          </cell>
          <cell r="G283">
            <v>-89.55</v>
          </cell>
          <cell r="H283">
            <v>-89.55</v>
          </cell>
          <cell r="I283">
            <v>-89.55</v>
          </cell>
          <cell r="J283">
            <v>-89.55</v>
          </cell>
          <cell r="K283">
            <v>-89.55</v>
          </cell>
          <cell r="L283">
            <v>-89.55</v>
          </cell>
          <cell r="M283">
            <v>-89.55</v>
          </cell>
          <cell r="N283">
            <v>-89.55</v>
          </cell>
          <cell r="O283">
            <v>-89.55</v>
          </cell>
          <cell r="P283">
            <v>-89.55</v>
          </cell>
          <cell r="Q283">
            <v>-89.55</v>
          </cell>
          <cell r="R283">
            <v>-89.55</v>
          </cell>
          <cell r="S283">
            <v>-89.55</v>
          </cell>
          <cell r="T283">
            <v>-95838.02</v>
          </cell>
          <cell r="U283">
            <v>-90430.6</v>
          </cell>
          <cell r="V283">
            <v>-89.55</v>
          </cell>
          <cell r="W283">
            <v>-89.55</v>
          </cell>
          <cell r="X283">
            <v>-89.55</v>
          </cell>
          <cell r="Y283">
            <v>-89.55</v>
          </cell>
          <cell r="Z283">
            <v>-89.55</v>
          </cell>
          <cell r="AA283">
            <v>-89.55</v>
          </cell>
          <cell r="AB283">
            <v>-89.55</v>
          </cell>
          <cell r="AC283">
            <v>-89.55</v>
          </cell>
          <cell r="AD283">
            <v>-89.55</v>
          </cell>
          <cell r="AE283">
            <v>-89.55</v>
          </cell>
          <cell r="AF283">
            <v>-89.55</v>
          </cell>
          <cell r="AG283">
            <v>-89.55</v>
          </cell>
          <cell r="AH283">
            <v>-89.55</v>
          </cell>
          <cell r="AI283">
            <v>-89.55</v>
          </cell>
          <cell r="AJ283">
            <v>-89.55</v>
          </cell>
          <cell r="AK283">
            <v>-89.55</v>
          </cell>
          <cell r="AL283">
            <v>-89.55</v>
          </cell>
          <cell r="AM283">
            <v>-92.99</v>
          </cell>
          <cell r="AN283">
            <v>-89.55</v>
          </cell>
          <cell r="AO283">
            <v>-89.55</v>
          </cell>
          <cell r="AP283">
            <v>-89.55</v>
          </cell>
          <cell r="AQ283">
            <v>-8024.55</v>
          </cell>
          <cell r="AR283">
            <v>-8024.55</v>
          </cell>
          <cell r="AS283">
            <v>-89.55</v>
          </cell>
          <cell r="AT283">
            <v>-10072.799999999999</v>
          </cell>
          <cell r="AU283">
            <v>-10072.799999999999</v>
          </cell>
          <cell r="AV283">
            <v>-119997.35</v>
          </cell>
          <cell r="AW283">
            <v>-10072.799999999999</v>
          </cell>
          <cell r="AX283">
            <v>-10072.799999999999</v>
          </cell>
          <cell r="AY283">
            <v>-9983.25</v>
          </cell>
          <cell r="AZ283">
            <v>-9983.25</v>
          </cell>
          <cell r="BA283">
            <v>0</v>
          </cell>
          <cell r="BB283">
            <v>0</v>
          </cell>
          <cell r="BC283">
            <v>435.9</v>
          </cell>
          <cell r="BD283">
            <v>435.9</v>
          </cell>
          <cell r="BE283">
            <v>0</v>
          </cell>
          <cell r="BF283">
            <v>0</v>
          </cell>
          <cell r="BG283">
            <v>0</v>
          </cell>
          <cell r="BH283">
            <v>0</v>
          </cell>
          <cell r="BI283">
            <v>0</v>
          </cell>
          <cell r="BJ283">
            <v>0</v>
          </cell>
          <cell r="BK283">
            <v>0</v>
          </cell>
          <cell r="BL283">
            <v>0</v>
          </cell>
          <cell r="BM283">
            <v>-125858.37</v>
          </cell>
          <cell r="BN283">
            <v>-118777.73</v>
          </cell>
          <cell r="BO283">
            <v>0</v>
          </cell>
          <cell r="BP283">
            <v>0</v>
          </cell>
          <cell r="BQ283">
            <v>0</v>
          </cell>
          <cell r="BR283">
            <v>0</v>
          </cell>
          <cell r="BS283">
            <v>0</v>
          </cell>
          <cell r="BT283">
            <v>0</v>
          </cell>
          <cell r="BU283">
            <v>0</v>
          </cell>
          <cell r="BV283">
            <v>0</v>
          </cell>
          <cell r="BW283">
            <v>0</v>
          </cell>
          <cell r="BX283">
            <v>0</v>
          </cell>
          <cell r="BY283">
            <v>-87.39</v>
          </cell>
          <cell r="BZ283">
            <v>-10236.299999999999</v>
          </cell>
          <cell r="CA283">
            <v>0</v>
          </cell>
          <cell r="CB283">
            <v>0</v>
          </cell>
          <cell r="CC283">
            <v>-199.1</v>
          </cell>
          <cell r="CD283">
            <v>-188.4</v>
          </cell>
          <cell r="CE283">
            <v>-188.4</v>
          </cell>
          <cell r="CF283">
            <v>-188.4</v>
          </cell>
          <cell r="CG283">
            <v>-188.4</v>
          </cell>
          <cell r="CH283">
            <v>-188.4</v>
          </cell>
          <cell r="CI283">
            <v>-189.36</v>
          </cell>
          <cell r="CJ283">
            <v>-131226.32999999999</v>
          </cell>
          <cell r="CK283">
            <v>-188.4</v>
          </cell>
          <cell r="CL283">
            <v>-188.4</v>
          </cell>
          <cell r="CM283">
            <v>-188.4</v>
          </cell>
          <cell r="CN283">
            <v>-188.4</v>
          </cell>
          <cell r="CO283">
            <v>-833.03</v>
          </cell>
          <cell r="CP283">
            <v>-163.16</v>
          </cell>
          <cell r="CQ283">
            <v>-163.16</v>
          </cell>
          <cell r="CR283">
            <v>-615.85</v>
          </cell>
          <cell r="CS283">
            <v>-362.21</v>
          </cell>
          <cell r="CT283">
            <v>-362.21</v>
          </cell>
          <cell r="CU283">
            <v>-362.21</v>
          </cell>
          <cell r="CV283">
            <v>-362.21</v>
          </cell>
          <cell r="CW283">
            <v>-809.09</v>
          </cell>
          <cell r="CX283">
            <v>-362.21</v>
          </cell>
          <cell r="CY283">
            <v>-362.21</v>
          </cell>
          <cell r="CZ283">
            <v>-3363.59</v>
          </cell>
          <cell r="DA283">
            <v>-443.58</v>
          </cell>
          <cell r="DB283">
            <v>-164073.1</v>
          </cell>
          <cell r="DC283">
            <v>-156612.03</v>
          </cell>
          <cell r="DD283">
            <v>805.39</v>
          </cell>
          <cell r="DE283">
            <v>953.88</v>
          </cell>
          <cell r="DF283">
            <v>666.59</v>
          </cell>
          <cell r="DG283">
            <v>738.11</v>
          </cell>
          <cell r="DH283">
            <v>-9049.93</v>
          </cell>
        </row>
        <row r="284">
          <cell r="A284" t="str">
            <v>2410330</v>
          </cell>
          <cell r="B284" t="str">
            <v>2410330</v>
          </cell>
          <cell r="C284" t="str">
            <v>FIT Withholding Pay</v>
          </cell>
          <cell r="D284">
            <v>-1337.13</v>
          </cell>
          <cell r="E284">
            <v>-736443.68</v>
          </cell>
          <cell r="F284">
            <v>-1337.13</v>
          </cell>
          <cell r="G284">
            <v>-1337.13</v>
          </cell>
          <cell r="H284">
            <v>-1337.13</v>
          </cell>
          <cell r="I284">
            <v>-1337.13</v>
          </cell>
          <cell r="J284">
            <v>-1337.13</v>
          </cell>
          <cell r="K284">
            <v>-1337.13</v>
          </cell>
          <cell r="L284">
            <v>-1337.13</v>
          </cell>
          <cell r="M284">
            <v>-1337.13</v>
          </cell>
          <cell r="N284">
            <v>-1337.13</v>
          </cell>
          <cell r="O284">
            <v>-1337.13</v>
          </cell>
          <cell r="P284">
            <v>-1337.13</v>
          </cell>
          <cell r="Q284">
            <v>-1337.13</v>
          </cell>
          <cell r="R284">
            <v>-1337.13</v>
          </cell>
          <cell r="S284">
            <v>-1337.13</v>
          </cell>
          <cell r="T284">
            <v>-155626.78</v>
          </cell>
          <cell r="U284">
            <v>-145126.96</v>
          </cell>
          <cell r="V284">
            <v>-1337.13</v>
          </cell>
          <cell r="W284">
            <v>-1337.13</v>
          </cell>
          <cell r="X284">
            <v>-1337.13</v>
          </cell>
          <cell r="Y284">
            <v>-1337.13</v>
          </cell>
          <cell r="Z284">
            <v>-1337.13</v>
          </cell>
          <cell r="AA284">
            <v>-1337.13</v>
          </cell>
          <cell r="AB284">
            <v>-1337.13</v>
          </cell>
          <cell r="AC284">
            <v>-1337.13</v>
          </cell>
          <cell r="AD284">
            <v>-1337.13</v>
          </cell>
          <cell r="AE284">
            <v>-1337.13</v>
          </cell>
          <cell r="AF284">
            <v>-1337.13</v>
          </cell>
          <cell r="AG284">
            <v>-1337.13</v>
          </cell>
          <cell r="AH284">
            <v>-1337.13</v>
          </cell>
          <cell r="AI284">
            <v>-1337.13</v>
          </cell>
          <cell r="AJ284">
            <v>-1337.13</v>
          </cell>
          <cell r="AK284">
            <v>-1337.13</v>
          </cell>
          <cell r="AL284">
            <v>-1337.13</v>
          </cell>
          <cell r="AM284">
            <v>-1337.13</v>
          </cell>
          <cell r="AN284">
            <v>-1337.13</v>
          </cell>
          <cell r="AO284">
            <v>-1337.13</v>
          </cell>
          <cell r="AP284">
            <v>-1337.13</v>
          </cell>
          <cell r="AQ284">
            <v>-25185.41</v>
          </cell>
          <cell r="AR284">
            <v>-25185.41</v>
          </cell>
          <cell r="AS284">
            <v>-25185.41</v>
          </cell>
          <cell r="AT284">
            <v>-25185.41</v>
          </cell>
          <cell r="AU284">
            <v>-1337.13</v>
          </cell>
          <cell r="AV284">
            <v>-195536.44</v>
          </cell>
          <cell r="AW284">
            <v>-1337.13</v>
          </cell>
          <cell r="AX284">
            <v>-1337.13</v>
          </cell>
          <cell r="AY284">
            <v>0</v>
          </cell>
          <cell r="AZ284">
            <v>0</v>
          </cell>
          <cell r="BA284">
            <v>0</v>
          </cell>
          <cell r="BB284">
            <v>0</v>
          </cell>
          <cell r="BC284">
            <v>1002.86</v>
          </cell>
          <cell r="BD284">
            <v>1002.86</v>
          </cell>
          <cell r="BE284">
            <v>0</v>
          </cell>
          <cell r="BF284">
            <v>0</v>
          </cell>
          <cell r="BG284">
            <v>0</v>
          </cell>
          <cell r="BH284">
            <v>0</v>
          </cell>
          <cell r="BI284">
            <v>333.33</v>
          </cell>
          <cell r="BJ284">
            <v>5.49</v>
          </cell>
          <cell r="BK284">
            <v>333.33</v>
          </cell>
          <cell r="BL284">
            <v>333.33</v>
          </cell>
          <cell r="BM284">
            <v>-181558.7</v>
          </cell>
          <cell r="BN284">
            <v>-170753.68</v>
          </cell>
          <cell r="BO284">
            <v>333.33</v>
          </cell>
          <cell r="BP284">
            <v>333.33</v>
          </cell>
          <cell r="BQ284">
            <v>333.33</v>
          </cell>
          <cell r="BR284">
            <v>333.33</v>
          </cell>
          <cell r="BS284">
            <v>333.33</v>
          </cell>
          <cell r="BT284">
            <v>333.33</v>
          </cell>
          <cell r="BU284">
            <v>333.33</v>
          </cell>
          <cell r="BV284">
            <v>333.33</v>
          </cell>
          <cell r="BW284">
            <v>333.33</v>
          </cell>
          <cell r="BX284">
            <v>333.33</v>
          </cell>
          <cell r="BY284">
            <v>207.82</v>
          </cell>
          <cell r="BZ284">
            <v>-29104.43</v>
          </cell>
          <cell r="CA284">
            <v>333.33</v>
          </cell>
          <cell r="CB284">
            <v>333.33</v>
          </cell>
          <cell r="CC284">
            <v>-28.1</v>
          </cell>
          <cell r="CD284">
            <v>333.33</v>
          </cell>
          <cell r="CE284">
            <v>333.33</v>
          </cell>
          <cell r="CF284">
            <v>333.33</v>
          </cell>
          <cell r="CG284">
            <v>333.33</v>
          </cell>
          <cell r="CH284">
            <v>333.33</v>
          </cell>
          <cell r="CI284">
            <v>333.33</v>
          </cell>
          <cell r="CJ284">
            <v>-215923.88</v>
          </cell>
          <cell r="CK284">
            <v>333.33</v>
          </cell>
          <cell r="CL284">
            <v>333.33</v>
          </cell>
          <cell r="CM284">
            <v>333.33</v>
          </cell>
          <cell r="CN284">
            <v>562.76</v>
          </cell>
          <cell r="CO284">
            <v>-1861.49</v>
          </cell>
          <cell r="CP284">
            <v>578.65</v>
          </cell>
          <cell r="CQ284">
            <v>578.65</v>
          </cell>
          <cell r="CR284">
            <v>29.13</v>
          </cell>
          <cell r="CS284">
            <v>273.89</v>
          </cell>
          <cell r="CT284">
            <v>273.89</v>
          </cell>
          <cell r="CU284">
            <v>273.89</v>
          </cell>
          <cell r="CV284">
            <v>273.89</v>
          </cell>
          <cell r="CW284">
            <v>-465.16</v>
          </cell>
          <cell r="CX284">
            <v>273.89</v>
          </cell>
          <cell r="CY284">
            <v>273.89</v>
          </cell>
          <cell r="CZ284">
            <v>-7374.84</v>
          </cell>
          <cell r="DA284">
            <v>132.74</v>
          </cell>
          <cell r="DB284">
            <v>-245713.63</v>
          </cell>
          <cell r="DC284">
            <v>-227833.37</v>
          </cell>
          <cell r="DD284">
            <v>3113.69</v>
          </cell>
          <cell r="DE284">
            <v>3331.65</v>
          </cell>
          <cell r="DF284">
            <v>3106.51</v>
          </cell>
          <cell r="DG284">
            <v>3239.74</v>
          </cell>
          <cell r="DH284">
            <v>-2169.04</v>
          </cell>
        </row>
        <row r="285">
          <cell r="A285" t="str">
            <v>2410430</v>
          </cell>
          <cell r="B285" t="str">
            <v>2410430</v>
          </cell>
          <cell r="C285" t="str">
            <v>SIT Withholding Pay</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-154.80000000000001</v>
          </cell>
          <cell r="CK285">
            <v>-463.56</v>
          </cell>
          <cell r="CL285">
            <v>-463.56</v>
          </cell>
          <cell r="CM285">
            <v>-1445.44</v>
          </cell>
          <cell r="CN285">
            <v>-462.98</v>
          </cell>
          <cell r="CO285">
            <v>324.24</v>
          </cell>
          <cell r="CP285">
            <v>324.24</v>
          </cell>
          <cell r="CQ285">
            <v>324.24</v>
          </cell>
          <cell r="CR285">
            <v>324.24</v>
          </cell>
          <cell r="CS285">
            <v>324.24</v>
          </cell>
          <cell r="CT285">
            <v>324.24</v>
          </cell>
          <cell r="CU285">
            <v>324.24</v>
          </cell>
          <cell r="CV285">
            <v>324.24</v>
          </cell>
          <cell r="CW285">
            <v>324.24</v>
          </cell>
          <cell r="CX285">
            <v>324.24</v>
          </cell>
          <cell r="CY285">
            <v>324.24</v>
          </cell>
          <cell r="CZ285">
            <v>-1120.76</v>
          </cell>
          <cell r="DA285">
            <v>-1450.76</v>
          </cell>
          <cell r="DB285">
            <v>-2445.06</v>
          </cell>
          <cell r="DC285">
            <v>-3630</v>
          </cell>
          <cell r="DD285">
            <v>-1674.63</v>
          </cell>
          <cell r="DE285">
            <v>-2512.4699999999998</v>
          </cell>
          <cell r="DF285">
            <v>-894.32</v>
          </cell>
          <cell r="DG285">
            <v>-2072.2399999999998</v>
          </cell>
          <cell r="DH285">
            <v>-4010.59</v>
          </cell>
        </row>
        <row r="286">
          <cell r="A286" t="str">
            <v>2420111</v>
          </cell>
          <cell r="B286" t="str">
            <v>2420111</v>
          </cell>
          <cell r="C286" t="str">
            <v>SERP FAS158 C</v>
          </cell>
          <cell r="D286">
            <v>-777018</v>
          </cell>
          <cell r="E286">
            <v>-777018</v>
          </cell>
          <cell r="F286">
            <v>-777018</v>
          </cell>
          <cell r="G286">
            <v>-777018</v>
          </cell>
          <cell r="H286">
            <v>-777018</v>
          </cell>
          <cell r="I286">
            <v>-777018</v>
          </cell>
          <cell r="J286">
            <v>-777018</v>
          </cell>
          <cell r="K286">
            <v>-777018</v>
          </cell>
          <cell r="L286">
            <v>-777018</v>
          </cell>
          <cell r="M286">
            <v>-777018</v>
          </cell>
          <cell r="N286">
            <v>-777018</v>
          </cell>
          <cell r="O286">
            <v>-777018</v>
          </cell>
          <cell r="P286">
            <v>-440389</v>
          </cell>
          <cell r="Q286">
            <v>-440389</v>
          </cell>
          <cell r="R286">
            <v>-440389</v>
          </cell>
          <cell r="S286">
            <v>-440389</v>
          </cell>
          <cell r="T286">
            <v>-440389</v>
          </cell>
          <cell r="U286">
            <v>-440389</v>
          </cell>
          <cell r="V286">
            <v>-440389</v>
          </cell>
          <cell r="W286">
            <v>-440389</v>
          </cell>
          <cell r="X286">
            <v>-440389</v>
          </cell>
          <cell r="Y286">
            <v>-440389</v>
          </cell>
          <cell r="Z286">
            <v>-440389</v>
          </cell>
          <cell r="AA286">
            <v>-440389</v>
          </cell>
          <cell r="AB286">
            <v>-450241</v>
          </cell>
          <cell r="AC286">
            <v>-450241</v>
          </cell>
          <cell r="AD286">
            <v>-450241</v>
          </cell>
          <cell r="AE286">
            <v>-450241</v>
          </cell>
          <cell r="AF286">
            <v>-450241</v>
          </cell>
          <cell r="AG286">
            <v>-450241</v>
          </cell>
          <cell r="AH286">
            <v>-450241</v>
          </cell>
          <cell r="AI286">
            <v>-450241</v>
          </cell>
          <cell r="AJ286">
            <v>-450241</v>
          </cell>
          <cell r="AK286">
            <v>-450241</v>
          </cell>
          <cell r="AL286">
            <v>-450241</v>
          </cell>
          <cell r="AM286">
            <v>-450241</v>
          </cell>
          <cell r="AN286">
            <v>-388457</v>
          </cell>
          <cell r="AO286">
            <v>-388457</v>
          </cell>
          <cell r="AP286">
            <v>-388457</v>
          </cell>
          <cell r="AQ286">
            <v>-388457</v>
          </cell>
          <cell r="AR286">
            <v>-388457</v>
          </cell>
          <cell r="AS286">
            <v>-388457</v>
          </cell>
          <cell r="AT286">
            <v>-388457</v>
          </cell>
          <cell r="AU286">
            <v>-388457</v>
          </cell>
          <cell r="AV286">
            <v>-388457</v>
          </cell>
          <cell r="AW286">
            <v>-388457</v>
          </cell>
          <cell r="AX286">
            <v>-388457</v>
          </cell>
          <cell r="AY286">
            <v>-388457</v>
          </cell>
          <cell r="AZ286">
            <v>-388457</v>
          </cell>
          <cell r="BA286">
            <v>-388457</v>
          </cell>
          <cell r="BB286">
            <v>-388457</v>
          </cell>
          <cell r="BC286">
            <v>-388457</v>
          </cell>
          <cell r="BD286">
            <v>-388457</v>
          </cell>
          <cell r="BE286">
            <v>-388457</v>
          </cell>
          <cell r="BF286">
            <v>-365962</v>
          </cell>
          <cell r="BG286">
            <v>-365962</v>
          </cell>
          <cell r="BH286">
            <v>-365962</v>
          </cell>
          <cell r="BI286">
            <v>-365962</v>
          </cell>
          <cell r="BJ286">
            <v>-365962</v>
          </cell>
          <cell r="BK286">
            <v>-365962</v>
          </cell>
          <cell r="BL286">
            <v>-259763</v>
          </cell>
          <cell r="BM286">
            <v>-259763</v>
          </cell>
          <cell r="BN286">
            <v>-259763</v>
          </cell>
          <cell r="BO286">
            <v>-259763</v>
          </cell>
          <cell r="BP286">
            <v>-259763</v>
          </cell>
          <cell r="BQ286">
            <v>-259763</v>
          </cell>
          <cell r="BR286">
            <v>-259763</v>
          </cell>
          <cell r="BS286">
            <v>-259763</v>
          </cell>
          <cell r="BT286">
            <v>-259763</v>
          </cell>
          <cell r="BU286">
            <v>-259763</v>
          </cell>
          <cell r="BV286">
            <v>-259763</v>
          </cell>
          <cell r="BW286">
            <v>-259763</v>
          </cell>
          <cell r="BX286">
            <v>-249912</v>
          </cell>
          <cell r="BY286">
            <v>-249912</v>
          </cell>
          <cell r="BZ286">
            <v>-249912</v>
          </cell>
          <cell r="CA286">
            <v>-249912</v>
          </cell>
          <cell r="CB286">
            <v>-249912</v>
          </cell>
          <cell r="CC286">
            <v>-249912</v>
          </cell>
          <cell r="CD286">
            <v>-249912</v>
          </cell>
          <cell r="CE286">
            <v>-249912</v>
          </cell>
          <cell r="CF286">
            <v>-249912</v>
          </cell>
          <cell r="CG286">
            <v>-249912</v>
          </cell>
          <cell r="CH286">
            <v>-249912</v>
          </cell>
          <cell r="CI286">
            <v>-249912</v>
          </cell>
          <cell r="CJ286">
            <v>-249912</v>
          </cell>
          <cell r="CK286">
            <v>-249912</v>
          </cell>
          <cell r="CL286">
            <v>-249912</v>
          </cell>
          <cell r="CM286">
            <v>-249912</v>
          </cell>
          <cell r="CN286">
            <v>-249912</v>
          </cell>
          <cell r="CO286">
            <v>-249912</v>
          </cell>
          <cell r="CP286">
            <v>-249912</v>
          </cell>
          <cell r="CQ286">
            <v>-249912</v>
          </cell>
          <cell r="CR286">
            <v>-249912</v>
          </cell>
          <cell r="CS286">
            <v>-249912</v>
          </cell>
          <cell r="CT286">
            <v>-249912</v>
          </cell>
          <cell r="CU286">
            <v>-249912</v>
          </cell>
          <cell r="CV286">
            <v>-215694</v>
          </cell>
          <cell r="CW286">
            <v>-215694</v>
          </cell>
          <cell r="CX286">
            <v>-215694</v>
          </cell>
          <cell r="CY286">
            <v>-215694</v>
          </cell>
          <cell r="CZ286">
            <v>-215694</v>
          </cell>
          <cell r="DA286">
            <v>-215694</v>
          </cell>
          <cell r="DB286">
            <v>-215694</v>
          </cell>
          <cell r="DC286">
            <v>-215694</v>
          </cell>
          <cell r="DD286">
            <v>-215694</v>
          </cell>
          <cell r="DE286">
            <v>-215694</v>
          </cell>
          <cell r="DF286">
            <v>-215694</v>
          </cell>
          <cell r="DG286">
            <v>-215694</v>
          </cell>
          <cell r="DH286">
            <v>-301237</v>
          </cell>
        </row>
        <row r="287">
          <cell r="A287" t="str">
            <v>2420121</v>
          </cell>
          <cell r="B287" t="str">
            <v>2420121</v>
          </cell>
          <cell r="C287" t="str">
            <v>Restoration FAS158 C</v>
          </cell>
          <cell r="D287">
            <v>-777018</v>
          </cell>
          <cell r="E287">
            <v>-777018</v>
          </cell>
          <cell r="F287">
            <v>-777018</v>
          </cell>
          <cell r="G287">
            <v>-777018</v>
          </cell>
          <cell r="H287">
            <v>-777018</v>
          </cell>
          <cell r="I287">
            <v>-777018</v>
          </cell>
          <cell r="J287">
            <v>-777018</v>
          </cell>
          <cell r="K287">
            <v>-777018</v>
          </cell>
          <cell r="L287">
            <v>-777018</v>
          </cell>
          <cell r="M287">
            <v>-777018</v>
          </cell>
          <cell r="N287">
            <v>-777018</v>
          </cell>
          <cell r="O287">
            <v>-777018</v>
          </cell>
          <cell r="AI287">
            <v>0</v>
          </cell>
          <cell r="AJ287">
            <v>0</v>
          </cell>
          <cell r="AK287">
            <v>-620</v>
          </cell>
          <cell r="AL287">
            <v>-620</v>
          </cell>
          <cell r="AM287">
            <v>-620</v>
          </cell>
          <cell r="AN287">
            <v>-548</v>
          </cell>
          <cell r="AO287">
            <v>-548</v>
          </cell>
          <cell r="AP287">
            <v>-548</v>
          </cell>
          <cell r="AQ287">
            <v>-548</v>
          </cell>
          <cell r="AR287">
            <v>-548</v>
          </cell>
          <cell r="AS287">
            <v>-548</v>
          </cell>
          <cell r="AT287">
            <v>-548</v>
          </cell>
          <cell r="AU287">
            <v>-548</v>
          </cell>
          <cell r="AV287">
            <v>-548</v>
          </cell>
          <cell r="AW287">
            <v>-548</v>
          </cell>
          <cell r="AX287">
            <v>-548</v>
          </cell>
          <cell r="AY287">
            <v>-548</v>
          </cell>
          <cell r="AZ287">
            <v>-4232</v>
          </cell>
          <cell r="BA287">
            <v>-4232</v>
          </cell>
          <cell r="BB287">
            <v>-4232</v>
          </cell>
          <cell r="BC287">
            <v>-4232</v>
          </cell>
          <cell r="BD287">
            <v>-4232</v>
          </cell>
          <cell r="BE287">
            <v>-4232</v>
          </cell>
          <cell r="BF287">
            <v>-4232</v>
          </cell>
          <cell r="BG287">
            <v>-4232</v>
          </cell>
          <cell r="BH287">
            <v>-4232</v>
          </cell>
          <cell r="BI287">
            <v>-4232</v>
          </cell>
          <cell r="BJ287">
            <v>-4232</v>
          </cell>
          <cell r="BK287">
            <v>-4232</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-2003358</v>
          </cell>
          <cell r="CW287">
            <v>-2003358</v>
          </cell>
          <cell r="CX287">
            <v>-2003358</v>
          </cell>
          <cell r="CY287">
            <v>-2003358</v>
          </cell>
          <cell r="CZ287">
            <v>-2003358</v>
          </cell>
          <cell r="DA287">
            <v>-2003358</v>
          </cell>
          <cell r="DB287">
            <v>-859975</v>
          </cell>
          <cell r="DC287">
            <v>-859975</v>
          </cell>
          <cell r="DD287">
            <v>-859975</v>
          </cell>
          <cell r="DE287">
            <v>-859975</v>
          </cell>
          <cell r="DF287">
            <v>-859975</v>
          </cell>
          <cell r="DG287">
            <v>-859975</v>
          </cell>
          <cell r="DH287">
            <v>-131961</v>
          </cell>
        </row>
        <row r="288">
          <cell r="A288" t="str">
            <v>2420131</v>
          </cell>
          <cell r="B288" t="str">
            <v>2420131</v>
          </cell>
          <cell r="C288" t="str">
            <v>FAS106 FAS158 C</v>
          </cell>
          <cell r="D288">
            <v>-606935</v>
          </cell>
          <cell r="E288">
            <v>-606935</v>
          </cell>
          <cell r="F288">
            <v>-606935</v>
          </cell>
          <cell r="G288">
            <v>-606935</v>
          </cell>
          <cell r="H288">
            <v>-606935</v>
          </cell>
          <cell r="I288">
            <v>-606935</v>
          </cell>
          <cell r="J288">
            <v>-606935</v>
          </cell>
          <cell r="K288">
            <v>-606935</v>
          </cell>
          <cell r="L288">
            <v>-606935</v>
          </cell>
          <cell r="M288">
            <v>-606935</v>
          </cell>
          <cell r="N288">
            <v>-606935</v>
          </cell>
          <cell r="O288">
            <v>-606935</v>
          </cell>
          <cell r="P288">
            <v>-670526</v>
          </cell>
          <cell r="Q288">
            <v>-670526</v>
          </cell>
          <cell r="R288">
            <v>-670526</v>
          </cell>
          <cell r="S288">
            <v>-670526</v>
          </cell>
          <cell r="T288">
            <v>-670526</v>
          </cell>
          <cell r="U288">
            <v>-670526</v>
          </cell>
          <cell r="V288">
            <v>-670526</v>
          </cell>
          <cell r="W288">
            <v>-670526</v>
          </cell>
          <cell r="X288">
            <v>-670526</v>
          </cell>
          <cell r="Y288">
            <v>-670526</v>
          </cell>
          <cell r="Z288">
            <v>-670526</v>
          </cell>
          <cell r="AA288">
            <v>-670526</v>
          </cell>
          <cell r="AB288">
            <v>-684602</v>
          </cell>
          <cell r="AC288">
            <v>-684602</v>
          </cell>
          <cell r="AD288">
            <v>-684602</v>
          </cell>
          <cell r="AE288">
            <v>-684602</v>
          </cell>
          <cell r="AF288">
            <v>-684602</v>
          </cell>
          <cell r="AG288">
            <v>-684602</v>
          </cell>
          <cell r="AH288">
            <v>-684602</v>
          </cell>
          <cell r="AI288">
            <v>-684602</v>
          </cell>
          <cell r="AJ288">
            <v>-684602</v>
          </cell>
          <cell r="AK288">
            <v>-704381</v>
          </cell>
          <cell r="AL288">
            <v>-704381</v>
          </cell>
          <cell r="AM288">
            <v>-704381</v>
          </cell>
          <cell r="AN288">
            <v>-734975</v>
          </cell>
          <cell r="AO288">
            <v>-734975</v>
          </cell>
          <cell r="AP288">
            <v>-734975</v>
          </cell>
          <cell r="AQ288">
            <v>-734975</v>
          </cell>
          <cell r="AR288">
            <v>-734975</v>
          </cell>
          <cell r="AS288">
            <v>-734975</v>
          </cell>
          <cell r="AT288">
            <v>-734975</v>
          </cell>
          <cell r="AU288">
            <v>-734975</v>
          </cell>
          <cell r="AV288">
            <v>-734975</v>
          </cell>
          <cell r="AW288">
            <v>-734975</v>
          </cell>
          <cell r="AX288">
            <v>-734975</v>
          </cell>
          <cell r="AY288">
            <v>-734975</v>
          </cell>
          <cell r="AZ288">
            <v>-825877</v>
          </cell>
          <cell r="BA288">
            <v>-825877</v>
          </cell>
          <cell r="BB288">
            <v>-825877</v>
          </cell>
          <cell r="BC288">
            <v>-825877</v>
          </cell>
          <cell r="BD288">
            <v>-825877</v>
          </cell>
          <cell r="BE288">
            <v>-825877</v>
          </cell>
          <cell r="BF288">
            <v>-825877</v>
          </cell>
          <cell r="BG288">
            <v>-825877</v>
          </cell>
          <cell r="BH288">
            <v>-825877</v>
          </cell>
          <cell r="BI288">
            <v>-825877</v>
          </cell>
          <cell r="BJ288">
            <v>-825877</v>
          </cell>
          <cell r="BK288">
            <v>-825877</v>
          </cell>
          <cell r="BL288">
            <v>-872517</v>
          </cell>
          <cell r="BM288">
            <v>-872517</v>
          </cell>
          <cell r="BN288">
            <v>-872517</v>
          </cell>
          <cell r="BO288">
            <v>-872517</v>
          </cell>
          <cell r="BP288">
            <v>-872517</v>
          </cell>
          <cell r="BQ288">
            <v>-872517</v>
          </cell>
          <cell r="BR288">
            <v>-872517</v>
          </cell>
          <cell r="BS288">
            <v>-872517</v>
          </cell>
          <cell r="BT288">
            <v>-872517</v>
          </cell>
          <cell r="BU288">
            <v>-872517</v>
          </cell>
          <cell r="BV288">
            <v>-872517</v>
          </cell>
          <cell r="BW288">
            <v>-872517</v>
          </cell>
          <cell r="BX288">
            <v>-917247</v>
          </cell>
          <cell r="BY288">
            <v>-917247</v>
          </cell>
          <cell r="BZ288">
            <v>-917247</v>
          </cell>
          <cell r="CA288">
            <v>-917247</v>
          </cell>
          <cell r="CB288">
            <v>-917247</v>
          </cell>
          <cell r="CC288">
            <v>-917247</v>
          </cell>
          <cell r="CD288">
            <v>-917247</v>
          </cell>
          <cell r="CE288">
            <v>-917247</v>
          </cell>
          <cell r="CF288">
            <v>-917247</v>
          </cell>
          <cell r="CG288">
            <v>-917247</v>
          </cell>
          <cell r="CH288">
            <v>-917247</v>
          </cell>
          <cell r="CI288">
            <v>-917247</v>
          </cell>
          <cell r="CJ288">
            <v>-1089990</v>
          </cell>
          <cell r="CK288">
            <v>-1089990</v>
          </cell>
          <cell r="CL288">
            <v>-1089990</v>
          </cell>
          <cell r="CM288">
            <v>-1089990</v>
          </cell>
          <cell r="CN288">
            <v>-1089990</v>
          </cell>
          <cell r="CO288">
            <v>-1089990</v>
          </cell>
          <cell r="CP288">
            <v>-1089990</v>
          </cell>
          <cell r="CQ288">
            <v>-1089990</v>
          </cell>
          <cell r="CR288">
            <v>-1089990</v>
          </cell>
          <cell r="CS288">
            <v>-1089990</v>
          </cell>
          <cell r="CT288">
            <v>-1089990</v>
          </cell>
          <cell r="CU288">
            <v>-1089990</v>
          </cell>
          <cell r="CV288">
            <v>-1188715</v>
          </cell>
          <cell r="CW288">
            <v>-1188715</v>
          </cell>
          <cell r="CX288">
            <v>-1188715</v>
          </cell>
          <cell r="CY288">
            <v>-1188715</v>
          </cell>
          <cell r="CZ288">
            <v>-1188715</v>
          </cell>
          <cell r="DA288">
            <v>-1188715</v>
          </cell>
          <cell r="DB288">
            <v>-1188715</v>
          </cell>
          <cell r="DC288">
            <v>-1188715</v>
          </cell>
          <cell r="DD288">
            <v>-1188715</v>
          </cell>
          <cell r="DE288">
            <v>-1188715</v>
          </cell>
          <cell r="DF288">
            <v>-1188715</v>
          </cell>
          <cell r="DG288">
            <v>-1188715</v>
          </cell>
          <cell r="DH288">
            <v>-1139947</v>
          </cell>
        </row>
        <row r="289">
          <cell r="A289" t="str">
            <v>2420191</v>
          </cell>
          <cell r="B289" t="str">
            <v>2420191</v>
          </cell>
          <cell r="C289" t="str">
            <v>LT Incentive C</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-1527721.66</v>
          </cell>
          <cell r="BY289">
            <v>-1527721.66</v>
          </cell>
          <cell r="BZ289">
            <v>-49457.66</v>
          </cell>
          <cell r="CA289">
            <v>-1263689.1299999999</v>
          </cell>
          <cell r="CB289">
            <v>-1263689.1299999999</v>
          </cell>
          <cell r="CC289">
            <v>-1263689.1299999999</v>
          </cell>
          <cell r="CD289">
            <v>-1344801.03</v>
          </cell>
          <cell r="CE289">
            <v>-1344801.03</v>
          </cell>
          <cell r="CF289">
            <v>-1344801.03</v>
          </cell>
          <cell r="CG289">
            <v>-1498920.35</v>
          </cell>
          <cell r="CH289">
            <v>-1498920.35</v>
          </cell>
          <cell r="CI289">
            <v>-1498920.35</v>
          </cell>
          <cell r="CJ289">
            <v>-1958184.7</v>
          </cell>
          <cell r="CK289">
            <v>-1958184.7</v>
          </cell>
          <cell r="CL289">
            <v>-1958184.7</v>
          </cell>
          <cell r="CM289">
            <v>-1176900.3700000001</v>
          </cell>
          <cell r="CN289">
            <v>-1176900.3700000001</v>
          </cell>
          <cell r="CO289">
            <v>-1176900.3700000001</v>
          </cell>
          <cell r="CP289">
            <v>-1439648.01</v>
          </cell>
          <cell r="CQ289">
            <v>-1439648.01</v>
          </cell>
          <cell r="CR289">
            <v>-1439648.01</v>
          </cell>
          <cell r="CS289">
            <v>-1241453.2</v>
          </cell>
          <cell r="CT289">
            <v>-1241453.2</v>
          </cell>
          <cell r="CU289">
            <v>-1241453.2</v>
          </cell>
          <cell r="CV289">
            <v>-1381972.96</v>
          </cell>
          <cell r="CW289">
            <v>-1381972.96</v>
          </cell>
          <cell r="CX289">
            <v>-1337008.21</v>
          </cell>
          <cell r="CY289">
            <v>-1054229.56</v>
          </cell>
          <cell r="CZ289">
            <v>-1054229.56</v>
          </cell>
          <cell r="DA289">
            <v>-1054229.56</v>
          </cell>
          <cell r="DB289">
            <v>-1240693.78</v>
          </cell>
          <cell r="DC289">
            <v>-1240693.78</v>
          </cell>
          <cell r="DD289">
            <v>-1240693.78</v>
          </cell>
          <cell r="DE289">
            <v>-1336245.05</v>
          </cell>
          <cell r="DF289">
            <v>-1336245.05</v>
          </cell>
          <cell r="DG289">
            <v>-1336245.05</v>
          </cell>
          <cell r="DH289">
            <v>-1588586.26</v>
          </cell>
        </row>
        <row r="290">
          <cell r="A290" t="str">
            <v>2420192</v>
          </cell>
          <cell r="B290" t="str">
            <v>2420192</v>
          </cell>
          <cell r="C290" t="str">
            <v>Deferred Compensation - Current</v>
          </cell>
          <cell r="BY290">
            <v>0</v>
          </cell>
          <cell r="BZ290">
            <v>-71115</v>
          </cell>
          <cell r="CA290">
            <v>-75473.919999999998</v>
          </cell>
          <cell r="CB290">
            <v>-75473.919999999998</v>
          </cell>
          <cell r="CC290">
            <v>-75473.919999999998</v>
          </cell>
          <cell r="CD290">
            <v>-72256.03</v>
          </cell>
          <cell r="CE290">
            <v>-72256.03</v>
          </cell>
          <cell r="CF290">
            <v>-72256.03</v>
          </cell>
          <cell r="CG290">
            <v>-73127</v>
          </cell>
          <cell r="CH290">
            <v>-73127</v>
          </cell>
          <cell r="CI290">
            <v>-73127</v>
          </cell>
          <cell r="CJ290">
            <v>-74735.28</v>
          </cell>
          <cell r="CK290">
            <v>-74735.28</v>
          </cell>
          <cell r="CL290">
            <v>-74735.28</v>
          </cell>
          <cell r="CM290">
            <v>-241675.42</v>
          </cell>
          <cell r="CN290">
            <v>-241675.42</v>
          </cell>
          <cell r="CO290">
            <v>-241675.42</v>
          </cell>
          <cell r="CP290">
            <v>-269058.03000000003</v>
          </cell>
          <cell r="CQ290">
            <v>-269058.03000000003</v>
          </cell>
          <cell r="CR290">
            <v>-269058.03000000003</v>
          </cell>
          <cell r="CS290">
            <v>-283941.28999999998</v>
          </cell>
          <cell r="CT290">
            <v>-283941.28999999998</v>
          </cell>
          <cell r="CU290">
            <v>-283941.28999999998</v>
          </cell>
          <cell r="CV290">
            <v>-289608.46000000002</v>
          </cell>
          <cell r="CW290">
            <v>-289608.46000000002</v>
          </cell>
          <cell r="CX290">
            <v>-289608.46000000002</v>
          </cell>
          <cell r="CY290">
            <v>-340523.42</v>
          </cell>
          <cell r="CZ290">
            <v>-340523.42</v>
          </cell>
          <cell r="DA290">
            <v>-340523.42</v>
          </cell>
          <cell r="DB290">
            <v>-113651.37</v>
          </cell>
          <cell r="DC290">
            <v>-113651.37</v>
          </cell>
          <cell r="DD290">
            <v>-113651.37</v>
          </cell>
          <cell r="DE290">
            <v>-112082.05</v>
          </cell>
          <cell r="DF290">
            <v>-112082.05</v>
          </cell>
          <cell r="DG290">
            <v>-112082.05</v>
          </cell>
          <cell r="DH290">
            <v>-96081.69</v>
          </cell>
        </row>
        <row r="291">
          <cell r="A291" t="str">
            <v>2420199</v>
          </cell>
          <cell r="B291" t="str">
            <v>2420199</v>
          </cell>
          <cell r="C291" t="str">
            <v>Cur Misc Liab</v>
          </cell>
          <cell r="BJ291">
            <v>0</v>
          </cell>
          <cell r="BK291">
            <v>0</v>
          </cell>
          <cell r="BL291">
            <v>-1205445</v>
          </cell>
          <cell r="BM291">
            <v>0</v>
          </cell>
          <cell r="BN291">
            <v>0</v>
          </cell>
          <cell r="BO291">
            <v>-1014277.62</v>
          </cell>
          <cell r="BP291">
            <v>-1014277.62</v>
          </cell>
          <cell r="BQ291">
            <v>-1014277.62</v>
          </cell>
          <cell r="BR291">
            <v>-1223064.25</v>
          </cell>
          <cell r="BS291">
            <v>-777378.87</v>
          </cell>
          <cell r="BT291">
            <v>-777378.87</v>
          </cell>
          <cell r="BU291">
            <v>-1879798.98</v>
          </cell>
          <cell r="BV291">
            <v>-1879798.98</v>
          </cell>
          <cell r="BW291">
            <v>-1879798.98</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row>
        <row r="292">
          <cell r="A292" t="str">
            <v>2420300</v>
          </cell>
          <cell r="B292" t="str">
            <v>2420300</v>
          </cell>
          <cell r="C292" t="str">
            <v>Vacation Liab</v>
          </cell>
          <cell r="D292">
            <v>-2622171.31</v>
          </cell>
          <cell r="E292">
            <v>-2627171.31</v>
          </cell>
          <cell r="F292">
            <v>-2632171.31</v>
          </cell>
          <cell r="G292">
            <v>-2637171.31</v>
          </cell>
          <cell r="H292">
            <v>-2642171.31</v>
          </cell>
          <cell r="I292">
            <v>-2647171.31</v>
          </cell>
          <cell r="J292">
            <v>-2652171.31</v>
          </cell>
          <cell r="K292">
            <v>-2657171.31</v>
          </cell>
          <cell r="L292">
            <v>-2662171.31</v>
          </cell>
          <cell r="M292">
            <v>-2667171.31</v>
          </cell>
          <cell r="N292">
            <v>-2672171.31</v>
          </cell>
          <cell r="O292">
            <v>-2677171.31</v>
          </cell>
          <cell r="P292">
            <v>-2682171.31</v>
          </cell>
          <cell r="Q292">
            <v>-2687171.31</v>
          </cell>
          <cell r="R292">
            <v>-2690628.56</v>
          </cell>
          <cell r="S292">
            <v>-2692386.03</v>
          </cell>
          <cell r="T292">
            <v>-2694603.27</v>
          </cell>
          <cell r="U292">
            <v>-2692303.57</v>
          </cell>
          <cell r="V292">
            <v>-2691092.34</v>
          </cell>
          <cell r="W292">
            <v>-2681390.56</v>
          </cell>
          <cell r="X292">
            <v>-2677754.56</v>
          </cell>
          <cell r="Y292">
            <v>-2682754.56</v>
          </cell>
          <cell r="Z292">
            <v>-2687754.56</v>
          </cell>
          <cell r="AA292">
            <v>-2692754.56</v>
          </cell>
          <cell r="AB292">
            <v>-2614755.5099999998</v>
          </cell>
          <cell r="AC292">
            <v>-2600385.21</v>
          </cell>
          <cell r="AD292">
            <v>-2604913.27</v>
          </cell>
          <cell r="AE292">
            <v>-2607664.5499999998</v>
          </cell>
          <cell r="AF292">
            <v>-2611662.5499999998</v>
          </cell>
          <cell r="AG292">
            <v>-2612878.7999999998</v>
          </cell>
          <cell r="AH292">
            <v>-2616529.7999999998</v>
          </cell>
          <cell r="AI292">
            <v>-2636529.7999999998</v>
          </cell>
          <cell r="AJ292">
            <v>-2649140.6800000002</v>
          </cell>
          <cell r="AK292">
            <v>-2669140.6800000002</v>
          </cell>
          <cell r="AL292">
            <v>-2689140.68</v>
          </cell>
          <cell r="AM292">
            <v>-2706151.53</v>
          </cell>
          <cell r="AN292">
            <v>-3066666.17</v>
          </cell>
          <cell r="AO292">
            <v>-3911435.27</v>
          </cell>
          <cell r="AP292">
            <v>-3049357.54</v>
          </cell>
          <cell r="AQ292">
            <v>-3063285.65</v>
          </cell>
          <cell r="AR292">
            <v>-3066860.5</v>
          </cell>
          <cell r="AS292">
            <v>-3074452.97</v>
          </cell>
          <cell r="AT292">
            <v>-3083177.04</v>
          </cell>
          <cell r="AU292">
            <v>-3082664.24</v>
          </cell>
          <cell r="AV292">
            <v>-3097664.24</v>
          </cell>
          <cell r="AW292">
            <v>-3107823.14</v>
          </cell>
          <cell r="AX292">
            <v>-3122823.14</v>
          </cell>
          <cell r="AY292">
            <v>-3132263.17</v>
          </cell>
          <cell r="AZ292">
            <v>-3123156.42</v>
          </cell>
          <cell r="BA292">
            <v>-3119516.17</v>
          </cell>
          <cell r="BB292">
            <v>-3132970.62</v>
          </cell>
          <cell r="BC292">
            <v>-3146701.3</v>
          </cell>
          <cell r="BD292">
            <v>-3159553.54</v>
          </cell>
          <cell r="BE292">
            <v>-3170672.34</v>
          </cell>
          <cell r="BF292">
            <v>-3173874.68</v>
          </cell>
          <cell r="BG292">
            <v>-3188874.68</v>
          </cell>
          <cell r="BH292">
            <v>-3203874.68</v>
          </cell>
          <cell r="BI292">
            <v>-3206628.67</v>
          </cell>
          <cell r="BJ292">
            <v>-3221628.67</v>
          </cell>
          <cell r="BK292">
            <v>-3230963.08</v>
          </cell>
          <cell r="BL292">
            <v>-3300000</v>
          </cell>
          <cell r="BM292">
            <v>-3298283.1</v>
          </cell>
          <cell r="BN292">
            <v>-3312182.6</v>
          </cell>
          <cell r="BO292">
            <v>-3322872.39</v>
          </cell>
          <cell r="BP292">
            <v>-3335262.49</v>
          </cell>
          <cell r="BQ292">
            <v>-3347236.09</v>
          </cell>
          <cell r="BR292">
            <v>-3355245.34</v>
          </cell>
          <cell r="BS292">
            <v>-3351563.75</v>
          </cell>
          <cell r="BT292">
            <v>-3361492.2</v>
          </cell>
          <cell r="BU292">
            <v>-3376498.2</v>
          </cell>
          <cell r="BV292">
            <v>-3383843.05</v>
          </cell>
          <cell r="BW292">
            <v>-3393353.65</v>
          </cell>
          <cell r="BX292">
            <v>-3500000</v>
          </cell>
          <cell r="BY292">
            <v>-3485166.95</v>
          </cell>
          <cell r="BZ292">
            <v>-3497881.85</v>
          </cell>
          <cell r="CA292">
            <v>-3511238.25</v>
          </cell>
          <cell r="CB292">
            <v>-3525666.71</v>
          </cell>
          <cell r="CC292">
            <v>-3536988.19</v>
          </cell>
          <cell r="CD292">
            <v>-3711499.93</v>
          </cell>
          <cell r="CE292">
            <v>-3726505.43</v>
          </cell>
          <cell r="CF292">
            <v>-3741510.93</v>
          </cell>
          <cell r="CG292">
            <v>-3923183.1</v>
          </cell>
          <cell r="CH292">
            <v>-3938188.6</v>
          </cell>
          <cell r="CI292">
            <v>-3922981.56</v>
          </cell>
          <cell r="CJ292">
            <v>-4225242.0599999996</v>
          </cell>
          <cell r="CK292">
            <v>-4213213.62</v>
          </cell>
          <cell r="CL292">
            <v>-4228713.62</v>
          </cell>
          <cell r="CM292">
            <v>-3859634.1</v>
          </cell>
          <cell r="CN292">
            <v>-3867773.84</v>
          </cell>
          <cell r="CO292">
            <v>-3881493.62</v>
          </cell>
          <cell r="CP292">
            <v>-3884586.87</v>
          </cell>
          <cell r="CQ292">
            <v>-3888457.02</v>
          </cell>
          <cell r="CR292">
            <v>-3903957.02</v>
          </cell>
          <cell r="CS292">
            <v>-3912438.63</v>
          </cell>
          <cell r="CT292">
            <v>-3913868.05</v>
          </cell>
          <cell r="CU292">
            <v>-3929368.05</v>
          </cell>
          <cell r="CV292">
            <v>-3906365.73</v>
          </cell>
          <cell r="CW292">
            <v>-3922330.73</v>
          </cell>
          <cell r="CX292">
            <v>-3935766.45</v>
          </cell>
          <cell r="CY292">
            <v>-3951731.45</v>
          </cell>
          <cell r="CZ292">
            <v>-3964480.73</v>
          </cell>
          <cell r="DA292">
            <v>-3980445.73</v>
          </cell>
          <cell r="DB292">
            <v>-3986036.68</v>
          </cell>
          <cell r="DC292">
            <v>-3997125.69</v>
          </cell>
          <cell r="DD292">
            <v>-4007732</v>
          </cell>
          <cell r="DE292">
            <v>-4023697</v>
          </cell>
          <cell r="DF292">
            <v>-4039662</v>
          </cell>
          <cell r="DG292">
            <v>-4055627</v>
          </cell>
          <cell r="DH292">
            <v>-4471395.08</v>
          </cell>
        </row>
        <row r="293">
          <cell r="A293" t="str">
            <v>2420310</v>
          </cell>
          <cell r="B293" t="str">
            <v>2420310</v>
          </cell>
          <cell r="C293" t="str">
            <v>Cashier Over/Short</v>
          </cell>
          <cell r="D293">
            <v>-12109.11</v>
          </cell>
          <cell r="E293">
            <v>-6369.36</v>
          </cell>
          <cell r="F293">
            <v>-12143.08</v>
          </cell>
          <cell r="G293">
            <v>-12102.58</v>
          </cell>
          <cell r="H293">
            <v>-23596.720000000001</v>
          </cell>
          <cell r="I293">
            <v>-8102.51</v>
          </cell>
          <cell r="J293">
            <v>-8811.2999999999993</v>
          </cell>
          <cell r="K293">
            <v>-10320.77</v>
          </cell>
          <cell r="L293">
            <v>-26472.86</v>
          </cell>
          <cell r="M293">
            <v>-28795.47</v>
          </cell>
          <cell r="N293">
            <v>-26156.45</v>
          </cell>
          <cell r="O293">
            <v>-40882.93</v>
          </cell>
          <cell r="P293">
            <v>-20487.240000000002</v>
          </cell>
          <cell r="Q293">
            <v>-17839.400000000001</v>
          </cell>
          <cell r="R293">
            <v>-27865.32</v>
          </cell>
          <cell r="S293">
            <v>-17927.580000000002</v>
          </cell>
          <cell r="T293">
            <v>-21546.76</v>
          </cell>
          <cell r="U293">
            <v>-24817.95</v>
          </cell>
          <cell r="V293">
            <v>-19249.439999999999</v>
          </cell>
          <cell r="W293">
            <v>-17921.59</v>
          </cell>
          <cell r="X293">
            <v>-32782.47</v>
          </cell>
          <cell r="Y293">
            <v>-23684.87</v>
          </cell>
          <cell r="Z293">
            <v>-24380.75</v>
          </cell>
          <cell r="AA293">
            <v>-33112.18</v>
          </cell>
          <cell r="AB293">
            <v>-30888.34</v>
          </cell>
          <cell r="AC293">
            <v>-30687.87</v>
          </cell>
          <cell r="AD293">
            <v>-25459.14</v>
          </cell>
          <cell r="AE293">
            <v>-29253.93</v>
          </cell>
          <cell r="AF293">
            <v>-22502.85</v>
          </cell>
          <cell r="AG293">
            <v>-7965.89</v>
          </cell>
          <cell r="AH293">
            <v>-18278.759999999998</v>
          </cell>
          <cell r="AI293">
            <v>-29231.39</v>
          </cell>
          <cell r="AJ293">
            <v>-22313.360000000001</v>
          </cell>
          <cell r="AK293">
            <v>-30755</v>
          </cell>
          <cell r="AL293">
            <v>-28160.95</v>
          </cell>
          <cell r="AM293">
            <v>-35867.1</v>
          </cell>
          <cell r="AN293">
            <v>-24690.46</v>
          </cell>
          <cell r="AO293">
            <v>-26356.93</v>
          </cell>
          <cell r="AP293">
            <v>-24552.19</v>
          </cell>
          <cell r="AQ293">
            <v>-24212.49</v>
          </cell>
          <cell r="AR293">
            <v>-26664.85</v>
          </cell>
          <cell r="AS293">
            <v>-47651.66</v>
          </cell>
          <cell r="AT293">
            <v>-29913.58</v>
          </cell>
          <cell r="AU293">
            <v>-25581.22</v>
          </cell>
          <cell r="AV293">
            <v>-19933.689999999999</v>
          </cell>
          <cell r="AW293">
            <v>-19644.93</v>
          </cell>
          <cell r="AX293">
            <v>-21309.85</v>
          </cell>
          <cell r="AY293">
            <v>-54363.02</v>
          </cell>
          <cell r="AZ293">
            <v>-65322.52</v>
          </cell>
          <cell r="BA293">
            <v>-71918.649999999994</v>
          </cell>
          <cell r="BB293">
            <v>-51975.82</v>
          </cell>
          <cell r="BC293">
            <v>-51462.84</v>
          </cell>
          <cell r="BD293">
            <v>-39513.949999999997</v>
          </cell>
          <cell r="BE293">
            <v>-15731.48</v>
          </cell>
          <cell r="BF293">
            <v>22764.32</v>
          </cell>
          <cell r="BG293">
            <v>38260.230000000003</v>
          </cell>
          <cell r="BH293">
            <v>30924.13</v>
          </cell>
          <cell r="BI293">
            <v>31213.22</v>
          </cell>
          <cell r="BJ293">
            <v>31597.72</v>
          </cell>
          <cell r="BK293">
            <v>32133.919999999998</v>
          </cell>
          <cell r="BL293">
            <v>9065.06</v>
          </cell>
          <cell r="BM293">
            <v>9475.2199999999993</v>
          </cell>
          <cell r="BN293">
            <v>13271.21</v>
          </cell>
          <cell r="BO293">
            <v>13096.47</v>
          </cell>
          <cell r="BP293">
            <v>9643</v>
          </cell>
          <cell r="BQ293">
            <v>9376.14</v>
          </cell>
          <cell r="BR293">
            <v>8495.84</v>
          </cell>
          <cell r="BS293">
            <v>7802.24</v>
          </cell>
          <cell r="BT293">
            <v>9164.35</v>
          </cell>
          <cell r="BU293">
            <v>8524.27</v>
          </cell>
          <cell r="BV293">
            <v>8692.27</v>
          </cell>
          <cell r="BW293">
            <v>8541.0400000000009</v>
          </cell>
          <cell r="BX293">
            <v>8754.91</v>
          </cell>
          <cell r="BY293">
            <v>19673.59</v>
          </cell>
          <cell r="BZ293">
            <v>7432.88</v>
          </cell>
          <cell r="CA293">
            <v>5977.53</v>
          </cell>
          <cell r="CB293">
            <v>6092.71</v>
          </cell>
          <cell r="CC293">
            <v>6112.71</v>
          </cell>
          <cell r="CD293">
            <v>6207.85</v>
          </cell>
          <cell r="CE293">
            <v>6223.81</v>
          </cell>
          <cell r="CF293">
            <v>-170866.85</v>
          </cell>
          <cell r="CG293">
            <v>-169333.29</v>
          </cell>
          <cell r="CH293">
            <v>6120.86</v>
          </cell>
          <cell r="CI293">
            <v>7449.96</v>
          </cell>
          <cell r="CJ293">
            <v>7936.82</v>
          </cell>
          <cell r="CK293">
            <v>6881.62</v>
          </cell>
          <cell r="CL293">
            <v>6759.86</v>
          </cell>
          <cell r="CM293">
            <v>6850.68</v>
          </cell>
          <cell r="CN293">
            <v>8416.7099999999991</v>
          </cell>
          <cell r="CO293">
            <v>9147.41</v>
          </cell>
          <cell r="CP293">
            <v>8908.7999999999993</v>
          </cell>
          <cell r="CQ293">
            <v>10458.77</v>
          </cell>
          <cell r="CR293">
            <v>11563.42</v>
          </cell>
          <cell r="CS293">
            <v>11617.43</v>
          </cell>
          <cell r="CT293">
            <v>11444.17</v>
          </cell>
          <cell r="CU293">
            <v>11444.17</v>
          </cell>
          <cell r="CV293">
            <v>13830.45</v>
          </cell>
          <cell r="CW293">
            <v>14754.69</v>
          </cell>
          <cell r="CX293">
            <v>15801.78</v>
          </cell>
          <cell r="CY293">
            <v>16443.13</v>
          </cell>
          <cell r="CZ293">
            <v>15992.47</v>
          </cell>
          <cell r="DA293">
            <v>16934.07</v>
          </cell>
          <cell r="DB293">
            <v>17362.96</v>
          </cell>
          <cell r="DC293">
            <v>16382.08</v>
          </cell>
          <cell r="DD293">
            <v>15874.11</v>
          </cell>
          <cell r="DE293">
            <v>16231.47</v>
          </cell>
          <cell r="DF293">
            <v>14642.02</v>
          </cell>
          <cell r="DG293">
            <v>16543.669999999998</v>
          </cell>
          <cell r="DH293">
            <v>16354.38</v>
          </cell>
        </row>
        <row r="294">
          <cell r="A294" t="str">
            <v>2420320</v>
          </cell>
          <cell r="B294" t="str">
            <v>2420320</v>
          </cell>
          <cell r="C294" t="str">
            <v>Unclaimed Funds</v>
          </cell>
          <cell r="D294">
            <v>-302569.92</v>
          </cell>
          <cell r="E294">
            <v>-312171.84000000003</v>
          </cell>
          <cell r="F294">
            <v>-331738.90999999997</v>
          </cell>
          <cell r="G294">
            <v>-331508.38</v>
          </cell>
          <cell r="H294">
            <v>-165194.48000000001</v>
          </cell>
          <cell r="I294">
            <v>-192986.12</v>
          </cell>
          <cell r="J294">
            <v>-247552.17</v>
          </cell>
          <cell r="K294">
            <v>-271910.36</v>
          </cell>
          <cell r="L294">
            <v>-329603.55</v>
          </cell>
          <cell r="M294">
            <v>-380326.63</v>
          </cell>
          <cell r="N294">
            <v>-415146.67</v>
          </cell>
          <cell r="O294">
            <v>-448408.34</v>
          </cell>
          <cell r="P294">
            <v>-466800.7</v>
          </cell>
          <cell r="Q294">
            <v>-490503.51</v>
          </cell>
          <cell r="R294">
            <v>-511234.33</v>
          </cell>
          <cell r="S294">
            <v>-388939.91</v>
          </cell>
          <cell r="T294">
            <v>-195786.79</v>
          </cell>
          <cell r="U294">
            <v>-220421.81</v>
          </cell>
          <cell r="V294">
            <v>-236522.82</v>
          </cell>
          <cell r="W294">
            <v>-256680.61</v>
          </cell>
          <cell r="X294">
            <v>-280266.39</v>
          </cell>
          <cell r="Y294">
            <v>-290436.69</v>
          </cell>
          <cell r="Z294">
            <v>-308514.78999999998</v>
          </cell>
          <cell r="AA294">
            <v>-329891.71999999997</v>
          </cell>
          <cell r="AB294">
            <v>-365719.26</v>
          </cell>
          <cell r="AC294">
            <v>-390410.62</v>
          </cell>
          <cell r="AD294">
            <v>-427488.39</v>
          </cell>
          <cell r="AE294">
            <v>-466543.16</v>
          </cell>
          <cell r="AF294">
            <v>-303496.15000000002</v>
          </cell>
          <cell r="AG294">
            <v>-291445.05</v>
          </cell>
          <cell r="AH294">
            <v>-315498.03000000003</v>
          </cell>
          <cell r="AI294">
            <v>-336287.38</v>
          </cell>
          <cell r="AJ294">
            <v>-349958.75</v>
          </cell>
          <cell r="AK294">
            <v>-372545.91</v>
          </cell>
          <cell r="AL294">
            <v>-396229.49</v>
          </cell>
          <cell r="AM294">
            <v>-416775.27</v>
          </cell>
          <cell r="AN294">
            <v>-482361.27</v>
          </cell>
          <cell r="AO294">
            <v>-506090.03</v>
          </cell>
          <cell r="AP294">
            <v>-516851.91</v>
          </cell>
          <cell r="AQ294">
            <v>-551193.87</v>
          </cell>
          <cell r="AR294">
            <v>-337570.55</v>
          </cell>
          <cell r="AS294">
            <v>-364789.51</v>
          </cell>
          <cell r="AT294">
            <v>-425142.54</v>
          </cell>
          <cell r="AU294">
            <v>-424704.19</v>
          </cell>
          <cell r="AV294">
            <v>-472308.27</v>
          </cell>
          <cell r="AW294">
            <v>-470344.99</v>
          </cell>
          <cell r="AX294">
            <v>-467290.38</v>
          </cell>
          <cell r="AY294">
            <v>-467235.2</v>
          </cell>
          <cell r="AZ294">
            <v>-418234.14</v>
          </cell>
          <cell r="BA294">
            <v>-418296.14</v>
          </cell>
          <cell r="BB294">
            <v>-420274.7</v>
          </cell>
          <cell r="BC294">
            <v>-398136.99</v>
          </cell>
          <cell r="BD294">
            <v>-18499.89</v>
          </cell>
          <cell r="BE294">
            <v>-17967.82</v>
          </cell>
          <cell r="BF294">
            <v>-11903.78</v>
          </cell>
          <cell r="BG294">
            <v>-11903.78</v>
          </cell>
          <cell r="BH294">
            <v>-11931.76</v>
          </cell>
          <cell r="BI294">
            <v>-10165.129999999999</v>
          </cell>
          <cell r="BJ294">
            <v>-553.21</v>
          </cell>
          <cell r="BK294">
            <v>-553.21</v>
          </cell>
          <cell r="BL294">
            <v>-553.21</v>
          </cell>
          <cell r="BM294">
            <v>-553.21</v>
          </cell>
          <cell r="BN294">
            <v>-525.23</v>
          </cell>
          <cell r="BO294">
            <v>-525.23</v>
          </cell>
          <cell r="BP294">
            <v>2265.12</v>
          </cell>
          <cell r="BQ294">
            <v>-1221.72</v>
          </cell>
          <cell r="BR294">
            <v>-1444.63</v>
          </cell>
          <cell r="BS294">
            <v>-1444.63</v>
          </cell>
          <cell r="BT294">
            <v>-4159.63</v>
          </cell>
          <cell r="BU294">
            <v>2374.96</v>
          </cell>
          <cell r="BV294">
            <v>-2050.04</v>
          </cell>
          <cell r="BW294">
            <v>-5948.6</v>
          </cell>
          <cell r="BX294">
            <v>-5948.6</v>
          </cell>
          <cell r="BY294">
            <v>-5948.6</v>
          </cell>
          <cell r="BZ294">
            <v>-7548.6</v>
          </cell>
          <cell r="CA294">
            <v>-37371.17</v>
          </cell>
          <cell r="CB294">
            <v>-37371.17</v>
          </cell>
          <cell r="CC294">
            <v>-32093.11</v>
          </cell>
          <cell r="CD294">
            <v>-31462.92</v>
          </cell>
          <cell r="CE294">
            <v>-31204.12</v>
          </cell>
          <cell r="CF294">
            <v>-34579.120000000003</v>
          </cell>
          <cell r="CG294">
            <v>-28951.68</v>
          </cell>
          <cell r="CH294">
            <v>-26570.02</v>
          </cell>
          <cell r="CI294">
            <v>-26570.02</v>
          </cell>
          <cell r="CJ294">
            <v>-26425.13</v>
          </cell>
          <cell r="CK294">
            <v>-35625.129999999997</v>
          </cell>
          <cell r="CL294">
            <v>-49118.73</v>
          </cell>
          <cell r="CM294">
            <v>-48930.61</v>
          </cell>
          <cell r="CN294">
            <v>-48868.66</v>
          </cell>
          <cell r="CO294">
            <v>-46580.42</v>
          </cell>
          <cell r="CP294">
            <v>-47880.42</v>
          </cell>
          <cell r="CQ294">
            <v>-48230.42</v>
          </cell>
          <cell r="CR294">
            <v>-48230.42</v>
          </cell>
          <cell r="CS294">
            <v>-48230.42</v>
          </cell>
          <cell r="CT294">
            <v>-51395.89</v>
          </cell>
          <cell r="CU294">
            <v>-51289.39</v>
          </cell>
          <cell r="CV294">
            <v>-51289.39</v>
          </cell>
          <cell r="CW294">
            <v>-51289.39</v>
          </cell>
          <cell r="CX294">
            <v>-52022.76</v>
          </cell>
          <cell r="CY294">
            <v>-87422.03</v>
          </cell>
          <cell r="CZ294">
            <v>-87422.03</v>
          </cell>
          <cell r="DA294">
            <v>-87422.03</v>
          </cell>
          <cell r="DB294">
            <v>-91297.03</v>
          </cell>
          <cell r="DC294">
            <v>-91297.03</v>
          </cell>
          <cell r="DD294">
            <v>-91297.03</v>
          </cell>
          <cell r="DE294">
            <v>-93897.03</v>
          </cell>
          <cell r="DF294">
            <v>-93727.22</v>
          </cell>
          <cell r="DG294">
            <v>-93246.37</v>
          </cell>
          <cell r="DH294">
            <v>-93246.37</v>
          </cell>
        </row>
        <row r="295">
          <cell r="A295" t="str">
            <v>2420321</v>
          </cell>
          <cell r="B295" t="str">
            <v>2420321</v>
          </cell>
          <cell r="C295" t="str">
            <v>PGS MGP Enviro Liab</v>
          </cell>
          <cell r="D295">
            <v>-40439944</v>
          </cell>
          <cell r="E295">
            <v>-40439944</v>
          </cell>
          <cell r="F295">
            <v>-40439944</v>
          </cell>
          <cell r="G295">
            <v>-38439944</v>
          </cell>
          <cell r="H295">
            <v>-38439944</v>
          </cell>
          <cell r="I295">
            <v>-38439944</v>
          </cell>
          <cell r="J295">
            <v>-35939944</v>
          </cell>
          <cell r="K295">
            <v>-35939944</v>
          </cell>
          <cell r="L295">
            <v>-35939944</v>
          </cell>
          <cell r="M295">
            <v>-33284401</v>
          </cell>
          <cell r="N295">
            <v>-33284401</v>
          </cell>
          <cell r="O295">
            <v>-33284401</v>
          </cell>
          <cell r="P295">
            <v>-33295565</v>
          </cell>
          <cell r="Q295">
            <v>-33295565</v>
          </cell>
          <cell r="R295">
            <v>-33295565</v>
          </cell>
          <cell r="S295">
            <v>-33295565</v>
          </cell>
          <cell r="T295">
            <v>-33295565</v>
          </cell>
          <cell r="U295">
            <v>-33295565</v>
          </cell>
          <cell r="V295">
            <v>-33295565</v>
          </cell>
          <cell r="W295">
            <v>-33295565</v>
          </cell>
          <cell r="X295">
            <v>-33295565</v>
          </cell>
          <cell r="Y295">
            <v>-33295565</v>
          </cell>
          <cell r="Z295">
            <v>-33295565</v>
          </cell>
          <cell r="AA295">
            <v>-33295565</v>
          </cell>
          <cell r="AB295">
            <v>-33938077</v>
          </cell>
          <cell r="AC295">
            <v>-33938077</v>
          </cell>
          <cell r="AD295">
            <v>-33938077</v>
          </cell>
          <cell r="AE295">
            <v>-33938077</v>
          </cell>
          <cell r="AF295">
            <v>-33938077</v>
          </cell>
          <cell r="AG295">
            <v>-33938077</v>
          </cell>
          <cell r="AH295">
            <v>-33938077</v>
          </cell>
          <cell r="AI295">
            <v>-33938077</v>
          </cell>
          <cell r="AJ295">
            <v>-33938077</v>
          </cell>
          <cell r="AK295">
            <v>-33938077</v>
          </cell>
          <cell r="AL295">
            <v>-33938077</v>
          </cell>
          <cell r="AM295">
            <v>-33938077</v>
          </cell>
          <cell r="AN295">
            <v>-31563329</v>
          </cell>
          <cell r="AO295">
            <v>-31563329</v>
          </cell>
          <cell r="AP295">
            <v>-31563329</v>
          </cell>
          <cell r="AQ295">
            <v>-30390812</v>
          </cell>
          <cell r="AR295">
            <v>-30390812</v>
          </cell>
          <cell r="AS295">
            <v>-30390812</v>
          </cell>
          <cell r="AT295">
            <v>-30390812</v>
          </cell>
          <cell r="AU295">
            <v>-30390812</v>
          </cell>
          <cell r="AV295">
            <v>-30390812</v>
          </cell>
          <cell r="AW295">
            <v>-30390812</v>
          </cell>
          <cell r="AX295">
            <v>-30390812</v>
          </cell>
          <cell r="AY295">
            <v>-30390812</v>
          </cell>
          <cell r="AZ295">
            <v>-30039284</v>
          </cell>
          <cell r="BA295">
            <v>-30039284</v>
          </cell>
          <cell r="BB295">
            <v>-30039284</v>
          </cell>
          <cell r="BC295">
            <v>-27963655</v>
          </cell>
          <cell r="BD295">
            <v>-27963655</v>
          </cell>
          <cell r="BE295">
            <v>-27963655</v>
          </cell>
          <cell r="BF295">
            <v>-27963655</v>
          </cell>
          <cell r="BG295">
            <v>-27963655</v>
          </cell>
          <cell r="BH295">
            <v>-27963655</v>
          </cell>
          <cell r="BI295">
            <v>-27963655</v>
          </cell>
          <cell r="BJ295">
            <v>-27963655</v>
          </cell>
          <cell r="BK295">
            <v>-27963655</v>
          </cell>
          <cell r="BL295">
            <v>-27962095</v>
          </cell>
          <cell r="BM295">
            <v>-27962095</v>
          </cell>
          <cell r="BN295">
            <v>-27962095</v>
          </cell>
          <cell r="BO295">
            <v>-27962095</v>
          </cell>
          <cell r="BP295">
            <v>-27962095</v>
          </cell>
          <cell r="BQ295">
            <v>-27962095</v>
          </cell>
          <cell r="BR295">
            <v>-27962095</v>
          </cell>
          <cell r="BS295">
            <v>-27962095</v>
          </cell>
          <cell r="BT295">
            <v>-27962095</v>
          </cell>
          <cell r="BU295">
            <v>-27962095</v>
          </cell>
          <cell r="BV295">
            <v>-27962095</v>
          </cell>
          <cell r="BW295">
            <v>-27962095</v>
          </cell>
          <cell r="BX295">
            <v>-20805063</v>
          </cell>
          <cell r="BY295">
            <v>-20805063</v>
          </cell>
          <cell r="BZ295">
            <v>-20805063</v>
          </cell>
          <cell r="CA295">
            <v>-20805063</v>
          </cell>
          <cell r="CB295">
            <v>-20805063</v>
          </cell>
          <cell r="CC295">
            <v>-20805063</v>
          </cell>
          <cell r="CD295">
            <v>-20805063</v>
          </cell>
          <cell r="CE295">
            <v>-20805063</v>
          </cell>
          <cell r="CF295">
            <v>-20805063</v>
          </cell>
          <cell r="CG295">
            <v>-20805063</v>
          </cell>
          <cell r="CH295">
            <v>-20805063</v>
          </cell>
          <cell r="CI295">
            <v>-20805063</v>
          </cell>
          <cell r="CJ295">
            <v>-17404076</v>
          </cell>
          <cell r="CK295">
            <v>-17404076</v>
          </cell>
          <cell r="CL295">
            <v>-17404076</v>
          </cell>
          <cell r="CM295">
            <v>-17404076</v>
          </cell>
          <cell r="CN295">
            <v>-17404076</v>
          </cell>
          <cell r="CO295">
            <v>-17404076</v>
          </cell>
          <cell r="CP295">
            <v>-17404076</v>
          </cell>
          <cell r="CQ295">
            <v>-17404076</v>
          </cell>
          <cell r="CR295">
            <v>-17404076</v>
          </cell>
          <cell r="CS295">
            <v>-17404076</v>
          </cell>
          <cell r="CT295">
            <v>-17404076</v>
          </cell>
          <cell r="CU295">
            <v>-17404076</v>
          </cell>
          <cell r="CV295">
            <v>-13903851</v>
          </cell>
          <cell r="CW295">
            <v>-13903851</v>
          </cell>
          <cell r="CX295">
            <v>-13903851</v>
          </cell>
          <cell r="CY295">
            <v>-13903851</v>
          </cell>
          <cell r="CZ295">
            <v>-13903851</v>
          </cell>
          <cell r="DA295">
            <v>-13903851</v>
          </cell>
          <cell r="DB295">
            <v>-13903851</v>
          </cell>
          <cell r="DC295">
            <v>-13903851</v>
          </cell>
          <cell r="DD295">
            <v>-13903851</v>
          </cell>
          <cell r="DE295">
            <v>-13903851</v>
          </cell>
          <cell r="DF295">
            <v>-13903851</v>
          </cell>
          <cell r="DG295">
            <v>-13903851</v>
          </cell>
          <cell r="DH295">
            <v>-12618620</v>
          </cell>
        </row>
        <row r="296">
          <cell r="A296" t="str">
            <v>2420800</v>
          </cell>
          <cell r="B296" t="str">
            <v>2420800</v>
          </cell>
          <cell r="C296" t="str">
            <v>Accru Liab - Misc</v>
          </cell>
          <cell r="D296">
            <v>-170911</v>
          </cell>
          <cell r="E296">
            <v>-181124.67</v>
          </cell>
          <cell r="F296">
            <v>-181134.83</v>
          </cell>
          <cell r="G296">
            <v>-193663.47</v>
          </cell>
          <cell r="H296">
            <v>-200172.17</v>
          </cell>
          <cell r="I296">
            <v>-206680.59</v>
          </cell>
          <cell r="J296">
            <v>-42383.88</v>
          </cell>
          <cell r="K296">
            <v>-48883.88</v>
          </cell>
          <cell r="L296">
            <v>-89697.94</v>
          </cell>
          <cell r="M296">
            <v>-89697.94</v>
          </cell>
          <cell r="N296">
            <v>-89697.94</v>
          </cell>
          <cell r="O296">
            <v>-89697.94</v>
          </cell>
          <cell r="P296">
            <v>-89697.94</v>
          </cell>
          <cell r="Q296">
            <v>-89697.94</v>
          </cell>
          <cell r="R296">
            <v>-89697.94</v>
          </cell>
          <cell r="S296">
            <v>-91514.22</v>
          </cell>
          <cell r="T296">
            <v>-91514.22</v>
          </cell>
          <cell r="U296">
            <v>-91514.22</v>
          </cell>
          <cell r="V296">
            <v>-91514.22</v>
          </cell>
          <cell r="W296">
            <v>-121914.22</v>
          </cell>
          <cell r="X296">
            <v>-121914.22</v>
          </cell>
          <cell r="Y296">
            <v>-121914.22</v>
          </cell>
          <cell r="Z296">
            <v>-132328.28</v>
          </cell>
          <cell r="AA296">
            <v>-132328.28</v>
          </cell>
          <cell r="AB296">
            <v>-1132328.28</v>
          </cell>
          <cell r="AC296">
            <v>-1132328.28</v>
          </cell>
          <cell r="AD296">
            <v>-1132328.28</v>
          </cell>
          <cell r="AE296">
            <v>-3133549.71</v>
          </cell>
          <cell r="AF296">
            <v>-3133549.71</v>
          </cell>
          <cell r="AG296">
            <v>-2133549.71</v>
          </cell>
          <cell r="AH296">
            <v>-133549.71</v>
          </cell>
          <cell r="AI296">
            <v>-133549.71</v>
          </cell>
          <cell r="AJ296">
            <v>-174363.77</v>
          </cell>
          <cell r="AK296">
            <v>-174363.77</v>
          </cell>
          <cell r="AL296">
            <v>-174363.77</v>
          </cell>
          <cell r="AM296">
            <v>-174363.77</v>
          </cell>
          <cell r="AN296">
            <v>-174363.77</v>
          </cell>
          <cell r="AO296">
            <v>-174363.77</v>
          </cell>
          <cell r="AP296">
            <v>-175930.55</v>
          </cell>
          <cell r="AQ296">
            <v>-175930.55</v>
          </cell>
          <cell r="AR296">
            <v>-175930.55</v>
          </cell>
          <cell r="AS296">
            <v>-175930.55</v>
          </cell>
          <cell r="AT296">
            <v>-175930.55</v>
          </cell>
          <cell r="AU296">
            <v>-175930.55</v>
          </cell>
          <cell r="AV296">
            <v>-175930.55</v>
          </cell>
          <cell r="AW296">
            <v>-175930.55</v>
          </cell>
          <cell r="AX296">
            <v>-228446.58</v>
          </cell>
          <cell r="AY296">
            <v>-228446.58</v>
          </cell>
          <cell r="AZ296">
            <v>-228446.58</v>
          </cell>
          <cell r="BA296">
            <v>-228446.58</v>
          </cell>
          <cell r="BB296">
            <v>-228446.58</v>
          </cell>
          <cell r="BC296">
            <v>-229330.55</v>
          </cell>
          <cell r="BD296">
            <v>-229330.55</v>
          </cell>
          <cell r="BE296">
            <v>-229330.55</v>
          </cell>
          <cell r="BF296">
            <v>-229330.55</v>
          </cell>
          <cell r="BG296">
            <v>-229330.55</v>
          </cell>
          <cell r="BH296">
            <v>-229330.55</v>
          </cell>
          <cell r="BI296">
            <v>-229330.55</v>
          </cell>
          <cell r="BJ296">
            <v>-36160</v>
          </cell>
          <cell r="BK296">
            <v>-36160</v>
          </cell>
          <cell r="BL296">
            <v>-36160</v>
          </cell>
          <cell r="BM296">
            <v>-97777.95</v>
          </cell>
          <cell r="BN296">
            <v>-102139.46</v>
          </cell>
          <cell r="BO296">
            <v>-102139.46</v>
          </cell>
          <cell r="BP296">
            <v>-102139.46</v>
          </cell>
          <cell r="BQ296">
            <v>-102139.46</v>
          </cell>
          <cell r="BR296">
            <v>-102139.46</v>
          </cell>
          <cell r="BS296">
            <v>-102139.46</v>
          </cell>
          <cell r="BT296">
            <v>-102139.46</v>
          </cell>
          <cell r="BU296">
            <v>-102139.46</v>
          </cell>
          <cell r="BV296">
            <v>-102139.46</v>
          </cell>
          <cell r="BW296">
            <v>-102139.46</v>
          </cell>
          <cell r="BX296">
            <v>-102139.46</v>
          </cell>
          <cell r="BY296">
            <v>-102139.46</v>
          </cell>
          <cell r="BZ296">
            <v>-181060.46</v>
          </cell>
          <cell r="CA296">
            <v>-181060.46</v>
          </cell>
          <cell r="CB296">
            <v>-181060.46</v>
          </cell>
          <cell r="CC296">
            <v>-181060.46</v>
          </cell>
          <cell r="CD296">
            <v>-181060.46</v>
          </cell>
          <cell r="CE296">
            <v>-181060.46</v>
          </cell>
          <cell r="CF296">
            <v>-181060.46</v>
          </cell>
          <cell r="CG296">
            <v>-181060.46</v>
          </cell>
          <cell r="CH296">
            <v>-181060.46</v>
          </cell>
          <cell r="CI296">
            <v>-181060.46</v>
          </cell>
          <cell r="CJ296">
            <v>-181060.46</v>
          </cell>
          <cell r="CK296">
            <v>-181060.46</v>
          </cell>
          <cell r="CL296">
            <v>-181060.46</v>
          </cell>
          <cell r="CM296">
            <v>-261025.46</v>
          </cell>
          <cell r="CN296">
            <v>-261025.46</v>
          </cell>
          <cell r="CO296">
            <v>-261025.46</v>
          </cell>
          <cell r="CP296">
            <v>-261025.46</v>
          </cell>
          <cell r="CQ296">
            <v>-261025.46</v>
          </cell>
          <cell r="CR296">
            <v>-261025.46</v>
          </cell>
          <cell r="CS296">
            <v>-261025.46</v>
          </cell>
          <cell r="CT296">
            <v>-261025.46</v>
          </cell>
          <cell r="CU296">
            <v>-261025.46</v>
          </cell>
          <cell r="CV296">
            <v>-261025.46</v>
          </cell>
          <cell r="CW296">
            <v>-261025.46</v>
          </cell>
          <cell r="CX296">
            <v>-336220.52</v>
          </cell>
          <cell r="CY296">
            <v>-343067.52</v>
          </cell>
          <cell r="CZ296">
            <v>-343067.52</v>
          </cell>
          <cell r="DA296">
            <v>-343067.52</v>
          </cell>
          <cell r="DB296">
            <v>-343067.52</v>
          </cell>
          <cell r="DC296">
            <v>-343067.52</v>
          </cell>
          <cell r="DD296">
            <v>-343067.52</v>
          </cell>
          <cell r="DE296">
            <v>-343067.52</v>
          </cell>
          <cell r="DF296">
            <v>-343067.52</v>
          </cell>
          <cell r="DG296">
            <v>-343067.52</v>
          </cell>
          <cell r="DH296">
            <v>-343067.52</v>
          </cell>
        </row>
        <row r="297">
          <cell r="A297" t="str">
            <v>2450100</v>
          </cell>
          <cell r="B297" t="str">
            <v>2450100</v>
          </cell>
          <cell r="C297" t="str">
            <v>Curr Deriv Liab</v>
          </cell>
          <cell r="D297">
            <v>-7120</v>
          </cell>
          <cell r="E297">
            <v>0</v>
          </cell>
          <cell r="F297">
            <v>0</v>
          </cell>
          <cell r="G297">
            <v>0</v>
          </cell>
          <cell r="H297">
            <v>0</v>
          </cell>
          <cell r="I297">
            <v>-38715</v>
          </cell>
          <cell r="J297">
            <v>-128875</v>
          </cell>
          <cell r="K297">
            <v>-2468590</v>
          </cell>
          <cell r="L297">
            <v>-1173365</v>
          </cell>
          <cell r="M297">
            <v>-1223070</v>
          </cell>
          <cell r="N297">
            <v>-2881650</v>
          </cell>
          <cell r="O297">
            <v>-2014370</v>
          </cell>
          <cell r="P297">
            <v>-7392240</v>
          </cell>
          <cell r="Q297">
            <v>-7790065</v>
          </cell>
          <cell r="R297">
            <v>-6393740</v>
          </cell>
          <cell r="S297">
            <v>-6342450</v>
          </cell>
          <cell r="T297">
            <v>-5637320</v>
          </cell>
          <cell r="U297">
            <v>-5755855</v>
          </cell>
          <cell r="V297">
            <v>-4880205</v>
          </cell>
          <cell r="W297">
            <v>-4858745</v>
          </cell>
          <cell r="X297">
            <v>-5110565</v>
          </cell>
          <cell r="Y297">
            <v>-5737865</v>
          </cell>
          <cell r="Z297">
            <v>-7190665</v>
          </cell>
          <cell r="AA297">
            <v>-7185065</v>
          </cell>
          <cell r="AB297">
            <v>-5677115</v>
          </cell>
          <cell r="AC297">
            <v>-4421245</v>
          </cell>
          <cell r="AD297">
            <v>-5029175</v>
          </cell>
          <cell r="AE297">
            <v>-3317630</v>
          </cell>
          <cell r="AF297">
            <v>-1955540</v>
          </cell>
          <cell r="AG297">
            <v>-1672795</v>
          </cell>
          <cell r="AH297">
            <v>-343605</v>
          </cell>
          <cell r="AI297">
            <v>-334975</v>
          </cell>
          <cell r="AJ297">
            <v>-322945</v>
          </cell>
          <cell r="AK297">
            <v>-385945</v>
          </cell>
          <cell r="AL297">
            <v>-407985</v>
          </cell>
          <cell r="AM297">
            <v>-73985</v>
          </cell>
          <cell r="AN297">
            <v>0</v>
          </cell>
          <cell r="AO297">
            <v>-55450</v>
          </cell>
          <cell r="AP297">
            <v>-358425</v>
          </cell>
          <cell r="AQ297">
            <v>0</v>
          </cell>
          <cell r="AR297">
            <v>0</v>
          </cell>
          <cell r="AS297">
            <v>-3400</v>
          </cell>
          <cell r="AT297">
            <v>-20300</v>
          </cell>
          <cell r="AU297">
            <v>-132075</v>
          </cell>
          <cell r="AV297">
            <v>-4680</v>
          </cell>
          <cell r="AW297">
            <v>-9230</v>
          </cell>
          <cell r="AX297">
            <v>-138225</v>
          </cell>
          <cell r="AY297">
            <v>-60555</v>
          </cell>
          <cell r="AZ297">
            <v>-181065</v>
          </cell>
          <cell r="BA297">
            <v>-1780</v>
          </cell>
          <cell r="BB297">
            <v>-113125</v>
          </cell>
          <cell r="BC297">
            <v>-32645</v>
          </cell>
          <cell r="BD297">
            <v>-25690</v>
          </cell>
          <cell r="BE297">
            <v>0</v>
          </cell>
          <cell r="BF297">
            <v>-280</v>
          </cell>
          <cell r="BG297">
            <v>-11720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row>
        <row r="298">
          <cell r="A298" t="str">
            <v>2450200</v>
          </cell>
          <cell r="B298" t="str">
            <v>2450200</v>
          </cell>
          <cell r="C298" t="str">
            <v>LT Deriv Liab</v>
          </cell>
          <cell r="D298">
            <v>-28565</v>
          </cell>
          <cell r="E298">
            <v>-16835</v>
          </cell>
          <cell r="F298">
            <v>-11185</v>
          </cell>
          <cell r="G298">
            <v>-18490</v>
          </cell>
          <cell r="H298">
            <v>-800</v>
          </cell>
          <cell r="I298">
            <v>-48975</v>
          </cell>
          <cell r="J298">
            <v>-58765</v>
          </cell>
          <cell r="K298">
            <v>-780035</v>
          </cell>
          <cell r="L298">
            <v>-352435</v>
          </cell>
          <cell r="M298">
            <v>-394780</v>
          </cell>
          <cell r="N298">
            <v>-777250</v>
          </cell>
          <cell r="O298">
            <v>-688750</v>
          </cell>
          <cell r="P298">
            <v>-1593250</v>
          </cell>
          <cell r="Q298">
            <v>-1274880</v>
          </cell>
          <cell r="R298">
            <v>-1033930</v>
          </cell>
          <cell r="S298">
            <v>-879585</v>
          </cell>
          <cell r="T298">
            <v>-655185</v>
          </cell>
          <cell r="U298">
            <v>-552090</v>
          </cell>
          <cell r="V298">
            <v>-314130</v>
          </cell>
          <cell r="W298">
            <v>-359700</v>
          </cell>
          <cell r="X298">
            <v>-439100</v>
          </cell>
          <cell r="Y298">
            <v>-594500</v>
          </cell>
          <cell r="Z298">
            <v>-853370</v>
          </cell>
          <cell r="AA298">
            <v>-880470</v>
          </cell>
          <cell r="AB298">
            <v>-668840</v>
          </cell>
          <cell r="AC298">
            <v>-461890</v>
          </cell>
          <cell r="AD298">
            <v>-401870</v>
          </cell>
          <cell r="AE298">
            <v>-134920</v>
          </cell>
          <cell r="AF298">
            <v>-16250</v>
          </cell>
          <cell r="AG298">
            <v>-15820</v>
          </cell>
          <cell r="AH298">
            <v>0</v>
          </cell>
          <cell r="AI298">
            <v>0</v>
          </cell>
          <cell r="AJ298">
            <v>-480</v>
          </cell>
          <cell r="AK298">
            <v>-18320</v>
          </cell>
          <cell r="AL298">
            <v>-530</v>
          </cell>
          <cell r="AM298">
            <v>-2800</v>
          </cell>
          <cell r="AN298">
            <v>0</v>
          </cell>
          <cell r="AO298">
            <v>-600</v>
          </cell>
          <cell r="AP298">
            <v>-31075</v>
          </cell>
          <cell r="AQ298">
            <v>-4235</v>
          </cell>
          <cell r="AR298">
            <v>0</v>
          </cell>
          <cell r="AS298">
            <v>-520</v>
          </cell>
          <cell r="AT298">
            <v>-1980</v>
          </cell>
          <cell r="AU298">
            <v>-7950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row>
        <row r="299">
          <cell r="A299" t="str">
            <v>2520000</v>
          </cell>
          <cell r="B299" t="str">
            <v>2520000</v>
          </cell>
          <cell r="C299" t="str">
            <v>Cust Adv Constructin</v>
          </cell>
          <cell r="D299">
            <v>-7564144.2999999998</v>
          </cell>
          <cell r="E299">
            <v>-7714348.2999999998</v>
          </cell>
          <cell r="F299">
            <v>-7764979.2999999998</v>
          </cell>
          <cell r="G299">
            <v>-7827894.2999999998</v>
          </cell>
          <cell r="H299">
            <v>-7873622.2999999998</v>
          </cell>
          <cell r="I299">
            <v>-7945592.2999999998</v>
          </cell>
          <cell r="J299">
            <v>-8035636.5800000001</v>
          </cell>
          <cell r="K299">
            <v>-8825586.5800000001</v>
          </cell>
          <cell r="L299">
            <v>-8912566.5800000001</v>
          </cell>
          <cell r="M299">
            <v>-8955974.0800000001</v>
          </cell>
          <cell r="N299">
            <v>-9024982</v>
          </cell>
          <cell r="O299">
            <v>-9822978</v>
          </cell>
          <cell r="P299">
            <v>-9842365</v>
          </cell>
          <cell r="Q299">
            <v>-9944960.2400000002</v>
          </cell>
          <cell r="R299">
            <v>-10017496.24</v>
          </cell>
          <cell r="S299">
            <v>-10092194.59</v>
          </cell>
          <cell r="T299">
            <v>-10903349.59</v>
          </cell>
          <cell r="U299">
            <v>-11184513.59</v>
          </cell>
          <cell r="V299">
            <v>-11269305.109999999</v>
          </cell>
          <cell r="W299">
            <v>-11293093.109999999</v>
          </cell>
          <cell r="X299">
            <v>-11468225.109999999</v>
          </cell>
          <cell r="Y299">
            <v>-11498118.130000001</v>
          </cell>
          <cell r="Z299">
            <v>-11549763.130000001</v>
          </cell>
          <cell r="AA299">
            <v>-11593557.449999999</v>
          </cell>
          <cell r="AB299">
            <v>-11625385.449999999</v>
          </cell>
          <cell r="AC299">
            <v>-11656524.449999999</v>
          </cell>
          <cell r="AD299">
            <v>-11952660.460000001</v>
          </cell>
          <cell r="AE299">
            <v>-11992238.460000001</v>
          </cell>
          <cell r="AF299">
            <v>-12090722.460000001</v>
          </cell>
          <cell r="AG299">
            <v>-12161249.460000001</v>
          </cell>
          <cell r="AH299">
            <v>-12372744.460000001</v>
          </cell>
          <cell r="AI299">
            <v>-12480523.460000001</v>
          </cell>
          <cell r="AJ299">
            <v>-12590723.460000001</v>
          </cell>
          <cell r="AK299">
            <v>-12662933.039999999</v>
          </cell>
          <cell r="AL299">
            <v>-12745836.039999999</v>
          </cell>
          <cell r="AM299">
            <v>-12438231.640000001</v>
          </cell>
          <cell r="AN299">
            <v>-12639677.640000001</v>
          </cell>
          <cell r="AO299">
            <v>-12165105.75</v>
          </cell>
          <cell r="AP299">
            <v>-12044118.57</v>
          </cell>
          <cell r="AQ299">
            <v>-12174977.210000001</v>
          </cell>
          <cell r="AR299">
            <v>-12309216.210000001</v>
          </cell>
          <cell r="AS299">
            <v>-12446195.210000001</v>
          </cell>
          <cell r="AT299">
            <v>-11296197.34</v>
          </cell>
          <cell r="AU299">
            <v>-9914451.8699999992</v>
          </cell>
          <cell r="AV299">
            <v>-9831064.5199999996</v>
          </cell>
          <cell r="AW299">
            <v>-9936897.5199999996</v>
          </cell>
          <cell r="AX299">
            <v>-10007435.52</v>
          </cell>
          <cell r="AY299">
            <v>-10047282.52</v>
          </cell>
          <cell r="AZ299">
            <v>-9607066.0800000001</v>
          </cell>
          <cell r="BA299">
            <v>-9573848.2899999991</v>
          </cell>
          <cell r="BB299">
            <v>-9728965.2899999991</v>
          </cell>
          <cell r="BC299">
            <v>-9807070.2899999991</v>
          </cell>
          <cell r="BD299">
            <v>-9950721.1799999997</v>
          </cell>
          <cell r="BE299">
            <v>-10073247.18</v>
          </cell>
          <cell r="BF299">
            <v>-10218869.18</v>
          </cell>
          <cell r="BG299">
            <v>-9921752.1600000001</v>
          </cell>
          <cell r="BH299">
            <v>-10073764.16</v>
          </cell>
          <cell r="BI299">
            <v>-10228447.51</v>
          </cell>
          <cell r="BJ299">
            <v>-10362898.27</v>
          </cell>
          <cell r="BK299">
            <v>-10539340.27</v>
          </cell>
          <cell r="BL299">
            <v>-10634955.27</v>
          </cell>
          <cell r="BM299">
            <v>-10826694.27</v>
          </cell>
          <cell r="BN299">
            <v>-11003766.27</v>
          </cell>
          <cell r="BO299">
            <v>-11120203.27</v>
          </cell>
          <cell r="BP299">
            <v>-11325462.27</v>
          </cell>
          <cell r="BQ299">
            <v>-11511792.27</v>
          </cell>
          <cell r="BR299">
            <v>-11785480.27</v>
          </cell>
          <cell r="BS299">
            <v>-11862644.27</v>
          </cell>
          <cell r="BT299">
            <v>-12925400.09</v>
          </cell>
          <cell r="BU299">
            <v>-12405990.039999999</v>
          </cell>
          <cell r="BV299">
            <v>-12710800.039999999</v>
          </cell>
          <cell r="BW299">
            <v>-12794821.32</v>
          </cell>
          <cell r="BX299">
            <v>-12952701.32</v>
          </cell>
          <cell r="BY299">
            <v>-13089078.98</v>
          </cell>
          <cell r="BZ299">
            <v>-13337566.98</v>
          </cell>
          <cell r="CA299">
            <v>-13479083.98</v>
          </cell>
          <cell r="CB299">
            <v>-13776579.98</v>
          </cell>
          <cell r="CC299">
            <v>-13915894.98</v>
          </cell>
          <cell r="CD299">
            <v>-14332008.98</v>
          </cell>
          <cell r="CE299">
            <v>-14545070.98</v>
          </cell>
          <cell r="CF299">
            <v>-14664981.98</v>
          </cell>
          <cell r="CG299">
            <v>-14788227.98</v>
          </cell>
          <cell r="CH299">
            <v>-14958396.98</v>
          </cell>
          <cell r="CI299">
            <v>-15370480.98</v>
          </cell>
          <cell r="CJ299">
            <v>-15681265.48</v>
          </cell>
          <cell r="CK299">
            <v>-15814281.48</v>
          </cell>
          <cell r="CL299">
            <v>-15923750.48</v>
          </cell>
          <cell r="CM299">
            <v>-16390079.48</v>
          </cell>
          <cell r="CN299">
            <v>-16722185.960000001</v>
          </cell>
          <cell r="CO299">
            <v>-16873568.960000001</v>
          </cell>
          <cell r="CP299">
            <v>-17005221.239999998</v>
          </cell>
          <cell r="CQ299">
            <v>-17164304.239999998</v>
          </cell>
          <cell r="CR299">
            <v>-17243754.239999998</v>
          </cell>
          <cell r="CS299">
            <v>-17573631.640000001</v>
          </cell>
          <cell r="CT299">
            <v>-17895821.640000001</v>
          </cell>
          <cell r="CU299">
            <v>-18117211.640000001</v>
          </cell>
          <cell r="CV299">
            <v>-18210107.640000001</v>
          </cell>
          <cell r="CW299">
            <v>-18325299.010000002</v>
          </cell>
          <cell r="CX299">
            <v>-18691975.640000001</v>
          </cell>
          <cell r="CY299">
            <v>-18995225.640000001</v>
          </cell>
          <cell r="CZ299">
            <v>-19514099.91</v>
          </cell>
          <cell r="DA299">
            <v>-19823385.920000002</v>
          </cell>
          <cell r="DB299">
            <v>-20211822.920000002</v>
          </cell>
          <cell r="DC299">
            <v>-20537692.920000002</v>
          </cell>
          <cell r="DD299">
            <v>-21002287.420000002</v>
          </cell>
          <cell r="DE299">
            <v>-21468778.420000002</v>
          </cell>
          <cell r="DF299">
            <v>-21711739.420000002</v>
          </cell>
          <cell r="DG299">
            <v>-21948610.420000002</v>
          </cell>
          <cell r="DH299">
            <v>-22520306.420000002</v>
          </cell>
        </row>
        <row r="300">
          <cell r="A300" t="str">
            <v>2530110</v>
          </cell>
          <cell r="B300" t="str">
            <v>2530110</v>
          </cell>
          <cell r="C300" t="str">
            <v>DfCr PenaltyFIN48 C</v>
          </cell>
          <cell r="BD300">
            <v>0</v>
          </cell>
          <cell r="BE300">
            <v>-10000</v>
          </cell>
          <cell r="BF300">
            <v>-10000</v>
          </cell>
          <cell r="BG300">
            <v>-10000</v>
          </cell>
          <cell r="BH300">
            <v>-10000</v>
          </cell>
          <cell r="BI300">
            <v>-10000</v>
          </cell>
          <cell r="BJ300">
            <v>-10000</v>
          </cell>
          <cell r="BK300">
            <v>-10000</v>
          </cell>
          <cell r="BL300">
            <v>-10000</v>
          </cell>
          <cell r="BM300">
            <v>-10000</v>
          </cell>
          <cell r="BN300">
            <v>-10000</v>
          </cell>
          <cell r="BO300">
            <v>-10000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row>
        <row r="301">
          <cell r="A301" t="str">
            <v>2530299</v>
          </cell>
          <cell r="B301" t="str">
            <v>2530299</v>
          </cell>
          <cell r="C301" t="str">
            <v>Contract Reten RECON</v>
          </cell>
          <cell r="D301">
            <v>-566504.38</v>
          </cell>
          <cell r="E301">
            <v>-531508.85</v>
          </cell>
          <cell r="F301">
            <v>-605474.18999999994</v>
          </cell>
          <cell r="G301">
            <v>-678091.78</v>
          </cell>
          <cell r="H301">
            <v>-607676.19999999995</v>
          </cell>
          <cell r="I301">
            <v>-710262.8</v>
          </cell>
          <cell r="J301">
            <v>-636622.56000000006</v>
          </cell>
          <cell r="K301">
            <v>-629608.51</v>
          </cell>
          <cell r="L301">
            <v>-723921.05</v>
          </cell>
          <cell r="M301">
            <v>-661942.4</v>
          </cell>
          <cell r="N301">
            <v>-773942.63</v>
          </cell>
          <cell r="O301">
            <v>-764450.2</v>
          </cell>
          <cell r="P301">
            <v>-878830.62</v>
          </cell>
          <cell r="Q301">
            <v>-965539.05</v>
          </cell>
          <cell r="R301">
            <v>-721521.15</v>
          </cell>
          <cell r="S301">
            <v>-683352.77</v>
          </cell>
          <cell r="T301">
            <v>-579249.14</v>
          </cell>
          <cell r="U301">
            <v>-536674.63</v>
          </cell>
          <cell r="V301">
            <v>-490485.7</v>
          </cell>
          <cell r="W301">
            <v>-368982.24</v>
          </cell>
          <cell r="X301">
            <v>-309693.28999999998</v>
          </cell>
          <cell r="Y301">
            <v>-352621.57</v>
          </cell>
          <cell r="Z301">
            <v>-355956.31</v>
          </cell>
          <cell r="AA301">
            <v>-440762.27</v>
          </cell>
          <cell r="AB301">
            <v>-550781.76</v>
          </cell>
          <cell r="AC301">
            <v>-572406.91</v>
          </cell>
          <cell r="AD301">
            <v>-621317.74</v>
          </cell>
          <cell r="AE301">
            <v>-570152.56000000006</v>
          </cell>
          <cell r="AF301">
            <v>-549891.73</v>
          </cell>
          <cell r="AG301">
            <v>-630787.83999999997</v>
          </cell>
          <cell r="AH301">
            <v>-279075.18</v>
          </cell>
          <cell r="AI301">
            <v>-491475.68</v>
          </cell>
          <cell r="AJ301">
            <v>-531213.67000000004</v>
          </cell>
          <cell r="AK301">
            <v>-646068.31000000006</v>
          </cell>
          <cell r="AL301">
            <v>-721704.56</v>
          </cell>
          <cell r="AM301">
            <v>-912506.33</v>
          </cell>
          <cell r="AN301">
            <v>-983590.64</v>
          </cell>
          <cell r="AO301">
            <v>-660001.98</v>
          </cell>
          <cell r="AP301">
            <v>-709601.74</v>
          </cell>
          <cell r="AQ301">
            <v>-540045.82999999996</v>
          </cell>
          <cell r="AR301">
            <v>-596321.55000000005</v>
          </cell>
          <cell r="AS301">
            <v>-605881.39</v>
          </cell>
          <cell r="AT301">
            <v>-638425.19999999995</v>
          </cell>
          <cell r="AU301">
            <v>-655217.18000000005</v>
          </cell>
          <cell r="AV301">
            <v>-829330.28</v>
          </cell>
          <cell r="AW301">
            <v>-911909.67</v>
          </cell>
          <cell r="AX301">
            <v>-1098851.5900000001</v>
          </cell>
          <cell r="AY301">
            <v>-1123652.3999999999</v>
          </cell>
          <cell r="AZ301">
            <v>-951948.11</v>
          </cell>
          <cell r="BA301">
            <v>-813743.18</v>
          </cell>
          <cell r="BB301">
            <v>-954802.42</v>
          </cell>
          <cell r="BC301">
            <v>-1111840.8799999999</v>
          </cell>
          <cell r="BD301">
            <v>-1132525.3400000001</v>
          </cell>
          <cell r="BE301">
            <v>-1258288.58</v>
          </cell>
          <cell r="BF301">
            <v>-1355438.56</v>
          </cell>
          <cell r="BG301">
            <v>-1489591.78</v>
          </cell>
          <cell r="BH301">
            <v>-1684526.11</v>
          </cell>
          <cell r="BI301">
            <v>-1763745.79</v>
          </cell>
          <cell r="BJ301">
            <v>-1991467.62</v>
          </cell>
          <cell r="BK301">
            <v>-2291831.2400000002</v>
          </cell>
          <cell r="BL301">
            <v>-2421306.73</v>
          </cell>
          <cell r="BM301">
            <v>-2234225.41</v>
          </cell>
          <cell r="BN301">
            <v>-2259302.14</v>
          </cell>
          <cell r="BO301">
            <v>-2535685.15</v>
          </cell>
          <cell r="BP301">
            <v>-2642939.81</v>
          </cell>
          <cell r="BQ301">
            <v>-2208946.2400000002</v>
          </cell>
          <cell r="BR301">
            <v>-2655898.4900000002</v>
          </cell>
          <cell r="BS301">
            <v>-3000384.84</v>
          </cell>
          <cell r="BT301">
            <v>-3386955.84</v>
          </cell>
          <cell r="BU301">
            <v>-3647167.5</v>
          </cell>
          <cell r="BV301">
            <v>-3874714.76</v>
          </cell>
          <cell r="BW301">
            <v>-3828292.2</v>
          </cell>
          <cell r="BX301">
            <v>-4133004.11</v>
          </cell>
          <cell r="BY301">
            <v>-4483609.68</v>
          </cell>
          <cell r="BZ301">
            <v>-4189045.62</v>
          </cell>
          <cell r="CA301">
            <v>-4493992.13</v>
          </cell>
          <cell r="CB301">
            <v>-5561285.6399999997</v>
          </cell>
          <cell r="CC301">
            <v>-6435470.4400000004</v>
          </cell>
          <cell r="CD301">
            <v>-6601226.0199999996</v>
          </cell>
          <cell r="CE301">
            <v>-6637965.6600000001</v>
          </cell>
          <cell r="CF301">
            <v>-6410533.4000000004</v>
          </cell>
          <cell r="CG301">
            <v>-6307697</v>
          </cell>
          <cell r="CH301">
            <v>-6187298.9000000004</v>
          </cell>
          <cell r="CI301">
            <v>-6136493.46</v>
          </cell>
          <cell r="CJ301">
            <v>-5957945</v>
          </cell>
          <cell r="CK301">
            <v>-6184140.5</v>
          </cell>
          <cell r="CL301">
            <v>-4482287.63</v>
          </cell>
          <cell r="CM301">
            <v>-1499384.26</v>
          </cell>
          <cell r="CN301">
            <v>-1474945.08</v>
          </cell>
          <cell r="CO301">
            <v>-1357732.57</v>
          </cell>
          <cell r="CP301">
            <v>-1234663.7</v>
          </cell>
          <cell r="CQ301">
            <v>-1447917.51</v>
          </cell>
          <cell r="CR301">
            <v>-1450144.64</v>
          </cell>
          <cell r="CS301">
            <v>-1517093.89</v>
          </cell>
          <cell r="CT301">
            <v>-1590949.62</v>
          </cell>
          <cell r="CU301">
            <v>-1409523.56</v>
          </cell>
          <cell r="CV301">
            <v>-1514945.05</v>
          </cell>
          <cell r="CW301">
            <v>-1516679.06</v>
          </cell>
          <cell r="CX301">
            <v>-1533529.31</v>
          </cell>
          <cell r="CY301">
            <v>-1533622.81</v>
          </cell>
          <cell r="CZ301">
            <v>-1533529.31</v>
          </cell>
          <cell r="DA301">
            <v>-1349645.93</v>
          </cell>
          <cell r="DB301">
            <v>-1347229.15</v>
          </cell>
          <cell r="DC301">
            <v>-1289049.8400000001</v>
          </cell>
          <cell r="DD301">
            <v>-1232380.8500000001</v>
          </cell>
          <cell r="DE301">
            <v>-1350153.43</v>
          </cell>
          <cell r="DF301">
            <v>-1448500.46</v>
          </cell>
          <cell r="DG301">
            <v>-931042.76</v>
          </cell>
          <cell r="DH301">
            <v>-902569.22</v>
          </cell>
        </row>
        <row r="302">
          <cell r="A302" t="str">
            <v>2530310</v>
          </cell>
          <cell r="B302" t="str">
            <v>2530310</v>
          </cell>
          <cell r="C302" t="str">
            <v>DefCr Unclaim Items</v>
          </cell>
          <cell r="AR302">
            <v>0</v>
          </cell>
          <cell r="AS302">
            <v>560</v>
          </cell>
          <cell r="AT302">
            <v>560</v>
          </cell>
          <cell r="AU302">
            <v>560</v>
          </cell>
          <cell r="AV302">
            <v>560</v>
          </cell>
          <cell r="AW302">
            <v>560</v>
          </cell>
          <cell r="AX302">
            <v>560</v>
          </cell>
          <cell r="AY302">
            <v>560</v>
          </cell>
          <cell r="AZ302">
            <v>794.71</v>
          </cell>
          <cell r="BA302">
            <v>-6.9</v>
          </cell>
          <cell r="BB302">
            <v>-684.22</v>
          </cell>
          <cell r="BC302">
            <v>-1992.55</v>
          </cell>
          <cell r="BD302">
            <v>-2387.06</v>
          </cell>
          <cell r="BE302">
            <v>-2947.83</v>
          </cell>
          <cell r="BF302">
            <v>-2084.63</v>
          </cell>
          <cell r="BG302">
            <v>-2578</v>
          </cell>
          <cell r="BH302">
            <v>-2995.38</v>
          </cell>
          <cell r="BI302">
            <v>-3521.16</v>
          </cell>
          <cell r="BJ302">
            <v>10670.22</v>
          </cell>
          <cell r="BK302">
            <v>9662.39</v>
          </cell>
          <cell r="BL302">
            <v>8926.85</v>
          </cell>
          <cell r="BM302">
            <v>7966.41</v>
          </cell>
          <cell r="BN302">
            <v>7675.51</v>
          </cell>
          <cell r="BO302">
            <v>5668.29</v>
          </cell>
          <cell r="BP302">
            <v>13637.95</v>
          </cell>
          <cell r="BQ302">
            <v>12141.57</v>
          </cell>
          <cell r="BR302">
            <v>11614.51</v>
          </cell>
          <cell r="BS302">
            <v>11420.15</v>
          </cell>
          <cell r="BT302">
            <v>-5697.03</v>
          </cell>
          <cell r="BU302">
            <v>-6372.74</v>
          </cell>
          <cell r="BV302">
            <v>-6549.54</v>
          </cell>
          <cell r="BW302">
            <v>-6612.54</v>
          </cell>
          <cell r="BX302">
            <v>-7134.38</v>
          </cell>
          <cell r="BY302">
            <v>-8593.31</v>
          </cell>
          <cell r="BZ302">
            <v>-9621.27</v>
          </cell>
          <cell r="CA302">
            <v>-10092.73</v>
          </cell>
          <cell r="CB302">
            <v>-10453.32</v>
          </cell>
          <cell r="CC302">
            <v>-10725.63</v>
          </cell>
          <cell r="CD302">
            <v>-10858.95</v>
          </cell>
          <cell r="CE302">
            <v>-11280.85</v>
          </cell>
          <cell r="CF302">
            <v>-11735.65</v>
          </cell>
          <cell r="CG302">
            <v>-12218.78</v>
          </cell>
          <cell r="CH302">
            <v>-12556.22</v>
          </cell>
          <cell r="CI302">
            <v>-12661.37</v>
          </cell>
          <cell r="CJ302">
            <v>-12821.19</v>
          </cell>
          <cell r="CK302">
            <v>-12821.19</v>
          </cell>
          <cell r="CL302">
            <v>-13258.38</v>
          </cell>
          <cell r="CM302">
            <v>-13722.57</v>
          </cell>
          <cell r="CN302">
            <v>-8918.6200000000008</v>
          </cell>
          <cell r="CO302">
            <v>-9148.0499999999993</v>
          </cell>
          <cell r="CP302">
            <v>-9258.23</v>
          </cell>
          <cell r="CQ302">
            <v>-9263.75</v>
          </cell>
          <cell r="CR302">
            <v>-9973.94</v>
          </cell>
          <cell r="CS302">
            <v>-10261.18</v>
          </cell>
          <cell r="CT302">
            <v>-10660.51</v>
          </cell>
          <cell r="CU302">
            <v>-10890.45</v>
          </cell>
          <cell r="CV302">
            <v>-11313.15</v>
          </cell>
          <cell r="CW302">
            <v>-11726.05</v>
          </cell>
          <cell r="CX302">
            <v>-13021</v>
          </cell>
          <cell r="CY302">
            <v>-14245.68</v>
          </cell>
          <cell r="CZ302">
            <v>-11324.77</v>
          </cell>
          <cell r="DA302">
            <v>-13831.17</v>
          </cell>
          <cell r="DB302">
            <v>-16344.31</v>
          </cell>
          <cell r="DC302">
            <v>-16805.5</v>
          </cell>
          <cell r="DD302">
            <v>-19077.95</v>
          </cell>
          <cell r="DE302">
            <v>-19095.43</v>
          </cell>
          <cell r="DF302">
            <v>-19207.400000000001</v>
          </cell>
          <cell r="DG302">
            <v>-19533.05</v>
          </cell>
          <cell r="DH302">
            <v>-17791.07</v>
          </cell>
        </row>
        <row r="303">
          <cell r="A303" t="str">
            <v>2530340</v>
          </cell>
          <cell r="B303" t="str">
            <v>2530340</v>
          </cell>
          <cell r="C303" t="str">
            <v>DefCr LT Incentive</v>
          </cell>
          <cell r="AO303">
            <v>0</v>
          </cell>
          <cell r="AP303">
            <v>0</v>
          </cell>
          <cell r="AQ303">
            <v>-92170.3</v>
          </cell>
          <cell r="AR303">
            <v>-90931.839999999997</v>
          </cell>
          <cell r="AS303">
            <v>-90931.839999999997</v>
          </cell>
          <cell r="AT303">
            <v>-186527.55</v>
          </cell>
          <cell r="AU303">
            <v>-187661.93</v>
          </cell>
          <cell r="AV303">
            <v>-187661.93</v>
          </cell>
          <cell r="AW303">
            <v>-282432.31</v>
          </cell>
          <cell r="AX303">
            <v>-283672.33</v>
          </cell>
          <cell r="AY303">
            <v>-283672.33</v>
          </cell>
          <cell r="AZ303">
            <v>-381454.88</v>
          </cell>
          <cell r="BA303">
            <v>-381454.88</v>
          </cell>
          <cell r="BB303">
            <v>-381454.88</v>
          </cell>
          <cell r="BC303">
            <v>-497930.43</v>
          </cell>
          <cell r="BD303">
            <v>-497930.43</v>
          </cell>
          <cell r="BE303">
            <v>-497930.43</v>
          </cell>
          <cell r="BF303">
            <v>-705114.91</v>
          </cell>
          <cell r="BG303">
            <v>-705114.91</v>
          </cell>
          <cell r="BH303">
            <v>-705114.91</v>
          </cell>
          <cell r="BI303">
            <v>-849190.94</v>
          </cell>
          <cell r="BJ303">
            <v>-849190.94</v>
          </cell>
          <cell r="BK303">
            <v>-849190.94</v>
          </cell>
          <cell r="BL303">
            <v>-1142930.5</v>
          </cell>
          <cell r="BM303">
            <v>-1142930.5</v>
          </cell>
          <cell r="BN303">
            <v>-1142930.5</v>
          </cell>
          <cell r="BO303">
            <v>-643955.44999999995</v>
          </cell>
          <cell r="BP303">
            <v>-643955.44999999995</v>
          </cell>
          <cell r="BQ303">
            <v>-643955.44999999995</v>
          </cell>
          <cell r="BR303">
            <v>-937288.89</v>
          </cell>
          <cell r="BS303">
            <v>-1382974.27</v>
          </cell>
          <cell r="BT303">
            <v>-1382974.27</v>
          </cell>
          <cell r="BU303">
            <v>-1285811.81</v>
          </cell>
          <cell r="BV303">
            <v>-1285811.81</v>
          </cell>
          <cell r="BW303">
            <v>-1285811.81</v>
          </cell>
          <cell r="BX303">
            <v>-1484104.87</v>
          </cell>
          <cell r="BY303">
            <v>-1484104.87</v>
          </cell>
          <cell r="BZ303">
            <v>-1484104.87</v>
          </cell>
          <cell r="CA303">
            <v>-778623.7</v>
          </cell>
          <cell r="CB303">
            <v>-778623.7</v>
          </cell>
          <cell r="CC303">
            <v>-778623.7</v>
          </cell>
          <cell r="CD303">
            <v>-971140.39</v>
          </cell>
          <cell r="CE303">
            <v>-971140.39</v>
          </cell>
          <cell r="CF303">
            <v>-971140.39</v>
          </cell>
          <cell r="CG303">
            <v>-1217827.74</v>
          </cell>
          <cell r="CH303">
            <v>-1217827.74</v>
          </cell>
          <cell r="CI303">
            <v>-1217827.74</v>
          </cell>
          <cell r="CJ303">
            <v>-1484863.36</v>
          </cell>
          <cell r="CK303">
            <v>-1484863.36</v>
          </cell>
          <cell r="CL303">
            <v>-1484863.36</v>
          </cell>
          <cell r="CM303">
            <v>-540134.69999999995</v>
          </cell>
          <cell r="CN303">
            <v>-540134.69999999995</v>
          </cell>
          <cell r="CO303">
            <v>-540134.69999999995</v>
          </cell>
          <cell r="CP303">
            <v>-805016.86</v>
          </cell>
          <cell r="CQ303">
            <v>-805016.86</v>
          </cell>
          <cell r="CR303">
            <v>-805016.86</v>
          </cell>
          <cell r="CS303">
            <v>-1078545.71</v>
          </cell>
          <cell r="CT303">
            <v>-1078545.71</v>
          </cell>
          <cell r="CU303">
            <v>-1078545.71</v>
          </cell>
          <cell r="CV303">
            <v>-1333899.8899999999</v>
          </cell>
          <cell r="CW303">
            <v>-1333899.8899999999</v>
          </cell>
          <cell r="CX303">
            <v>-1333899.8899999999</v>
          </cell>
          <cell r="CY303">
            <v>-661549.43999999994</v>
          </cell>
          <cell r="CZ303">
            <v>-661549.43999999994</v>
          </cell>
          <cell r="DA303">
            <v>-661549.43999999994</v>
          </cell>
          <cell r="DB303">
            <v>-931601.82</v>
          </cell>
          <cell r="DC303">
            <v>-931601.82</v>
          </cell>
          <cell r="DD303">
            <v>-931601.82</v>
          </cell>
          <cell r="DE303">
            <v>-1093105.81</v>
          </cell>
          <cell r="DF303">
            <v>-1093105.81</v>
          </cell>
          <cell r="DG303">
            <v>-1093105.81</v>
          </cell>
          <cell r="DH303">
            <v>-1122639.6599999999</v>
          </cell>
        </row>
        <row r="304">
          <cell r="A304" t="str">
            <v>2530360</v>
          </cell>
          <cell r="B304" t="str">
            <v>2530360</v>
          </cell>
          <cell r="C304" t="str">
            <v>DefCr Def Int Rev</v>
          </cell>
          <cell r="AF304">
            <v>0</v>
          </cell>
          <cell r="AG304">
            <v>0</v>
          </cell>
          <cell r="AH304">
            <v>-199683</v>
          </cell>
          <cell r="AI304">
            <v>-266805</v>
          </cell>
          <cell r="AJ304">
            <v>-334211</v>
          </cell>
          <cell r="AK304">
            <v>-401904</v>
          </cell>
          <cell r="AL304">
            <v>-469886</v>
          </cell>
          <cell r="AM304">
            <v>-584616</v>
          </cell>
          <cell r="AN304">
            <v>-676558</v>
          </cell>
          <cell r="AO304">
            <v>-768483</v>
          </cell>
          <cell r="AP304">
            <v>-860804</v>
          </cell>
          <cell r="AQ304">
            <v>-953523</v>
          </cell>
          <cell r="AR304">
            <v>-989835</v>
          </cell>
          <cell r="AS304">
            <v>-1026083</v>
          </cell>
          <cell r="AT304">
            <v>-1062266</v>
          </cell>
          <cell r="AU304">
            <v>-1098383</v>
          </cell>
          <cell r="AV304">
            <v>-1134433</v>
          </cell>
          <cell r="AW304">
            <v>-1170416</v>
          </cell>
          <cell r="AX304">
            <v>-1186465</v>
          </cell>
          <cell r="AY304">
            <v>-1202281</v>
          </cell>
          <cell r="AZ304">
            <v>-1217864</v>
          </cell>
          <cell r="BA304">
            <v>-1232548</v>
          </cell>
          <cell r="BB304">
            <v>-1246988</v>
          </cell>
          <cell r="BC304">
            <v>-1261182</v>
          </cell>
          <cell r="BD304">
            <v>-1275129</v>
          </cell>
          <cell r="BE304">
            <v>-1288826</v>
          </cell>
          <cell r="BF304">
            <v>-1302272</v>
          </cell>
          <cell r="BG304">
            <v>-1315464</v>
          </cell>
          <cell r="BH304">
            <v>-1328401</v>
          </cell>
          <cell r="BI304">
            <v>-1341080</v>
          </cell>
          <cell r="BJ304">
            <v>-1353499</v>
          </cell>
          <cell r="BK304">
            <v>-1365656</v>
          </cell>
          <cell r="BL304">
            <v>-1377549</v>
          </cell>
          <cell r="BM304">
            <v>-1388511</v>
          </cell>
          <cell r="BN304">
            <v>-1399199</v>
          </cell>
          <cell r="BO304">
            <v>-1409611</v>
          </cell>
          <cell r="BP304">
            <v>-1419744</v>
          </cell>
          <cell r="BQ304">
            <v>-1429596</v>
          </cell>
          <cell r="BR304">
            <v>-1439164</v>
          </cell>
          <cell r="BS304">
            <v>-1448447</v>
          </cell>
          <cell r="BT304">
            <v>-1457442</v>
          </cell>
          <cell r="BU304">
            <v>-1466146</v>
          </cell>
          <cell r="BV304">
            <v>-1474556</v>
          </cell>
          <cell r="BW304">
            <v>-1482671</v>
          </cell>
          <cell r="BX304">
            <v>-1490489</v>
          </cell>
          <cell r="BY304">
            <v>-1497343</v>
          </cell>
          <cell r="BZ304">
            <v>-1503890</v>
          </cell>
          <cell r="CA304">
            <v>-1510126</v>
          </cell>
          <cell r="CB304">
            <v>-1531726</v>
          </cell>
          <cell r="CC304">
            <v>-1553140</v>
          </cell>
          <cell r="CD304">
            <v>-1574365</v>
          </cell>
          <cell r="CE304">
            <v>-1595402</v>
          </cell>
          <cell r="CF304">
            <v>-1616247</v>
          </cell>
          <cell r="CG304">
            <v>-1636899</v>
          </cell>
          <cell r="CH304">
            <v>-1662840</v>
          </cell>
          <cell r="CI304">
            <v>-1688631</v>
          </cell>
          <cell r="CJ304">
            <v>-1714384</v>
          </cell>
          <cell r="CK304">
            <v>-1739094</v>
          </cell>
          <cell r="CL304">
            <v>-1763758</v>
          </cell>
          <cell r="CM304">
            <v>-1788261</v>
          </cell>
          <cell r="CN304">
            <v>-1812602</v>
          </cell>
          <cell r="CO304">
            <v>-1836779</v>
          </cell>
          <cell r="CP304">
            <v>-1860791</v>
          </cell>
          <cell r="CQ304">
            <v>-1884637</v>
          </cell>
          <cell r="CR304">
            <v>-1908315</v>
          </cell>
          <cell r="CS304">
            <v>-1931824</v>
          </cell>
          <cell r="CT304">
            <v>-1955162</v>
          </cell>
          <cell r="CU304">
            <v>-1978329</v>
          </cell>
          <cell r="CV304">
            <v>-2001321</v>
          </cell>
          <cell r="CW304">
            <v>-2023476</v>
          </cell>
          <cell r="CX304">
            <v>-2045451</v>
          </cell>
          <cell r="CY304">
            <v>-1557179</v>
          </cell>
          <cell r="CZ304">
            <v>-1572913</v>
          </cell>
          <cell r="DA304">
            <v>-1588507</v>
          </cell>
          <cell r="DB304">
            <v>-1603959</v>
          </cell>
          <cell r="DC304">
            <v>0</v>
          </cell>
          <cell r="DD304">
            <v>0</v>
          </cell>
          <cell r="DE304">
            <v>0</v>
          </cell>
          <cell r="DF304">
            <v>0</v>
          </cell>
          <cell r="DG304">
            <v>0</v>
          </cell>
          <cell r="DH304">
            <v>0</v>
          </cell>
        </row>
        <row r="305">
          <cell r="A305" t="str">
            <v>2530800</v>
          </cell>
          <cell r="B305" t="str">
            <v>2530800</v>
          </cell>
          <cell r="C305" t="str">
            <v>DefCr Miscellaneous</v>
          </cell>
          <cell r="D305">
            <v>-1970998.12</v>
          </cell>
          <cell r="E305">
            <v>-1959598.13</v>
          </cell>
          <cell r="F305">
            <v>-1956588.25</v>
          </cell>
          <cell r="G305">
            <v>-1956588.25</v>
          </cell>
          <cell r="H305">
            <v>-1950393.29</v>
          </cell>
          <cell r="I305">
            <v>-2719893.29</v>
          </cell>
          <cell r="J305">
            <v>-2634393.29</v>
          </cell>
          <cell r="K305">
            <v>-2791523.29</v>
          </cell>
          <cell r="L305">
            <v>-2595023.29</v>
          </cell>
          <cell r="M305">
            <v>-2535189.96</v>
          </cell>
          <cell r="N305">
            <v>-2475356.63</v>
          </cell>
          <cell r="O305">
            <v>-2415523.29</v>
          </cell>
          <cell r="P305">
            <v>-2550374.9500000002</v>
          </cell>
          <cell r="Q305">
            <v>-2490541.61</v>
          </cell>
          <cell r="R305">
            <v>-2430708.27</v>
          </cell>
          <cell r="S305">
            <v>-2370874.9300000002</v>
          </cell>
          <cell r="T305">
            <v>-573717.93999999994</v>
          </cell>
          <cell r="U305">
            <v>-503559.6</v>
          </cell>
          <cell r="V305">
            <v>-443726.26</v>
          </cell>
          <cell r="W305">
            <v>-383892.92</v>
          </cell>
          <cell r="X305">
            <v>-321994.58</v>
          </cell>
          <cell r="Y305">
            <v>-262161.24</v>
          </cell>
          <cell r="Z305">
            <v>-202327.9</v>
          </cell>
          <cell r="AA305">
            <v>-532808.56000000006</v>
          </cell>
          <cell r="AB305">
            <v>-703161.22</v>
          </cell>
          <cell r="AC305">
            <v>-936077.88</v>
          </cell>
          <cell r="AD305">
            <v>-1062649.54</v>
          </cell>
          <cell r="AE305">
            <v>-1045566.2</v>
          </cell>
          <cell r="AF305">
            <v>-1016045.36</v>
          </cell>
          <cell r="AG305">
            <v>-669162.02</v>
          </cell>
          <cell r="AH305">
            <v>-652078.68000000005</v>
          </cell>
          <cell r="AI305">
            <v>-682648.34</v>
          </cell>
          <cell r="AJ305">
            <v>-713218</v>
          </cell>
          <cell r="AK305">
            <v>-743982.66</v>
          </cell>
          <cell r="AL305">
            <v>-774747.32</v>
          </cell>
          <cell r="AM305">
            <v>-805511.98</v>
          </cell>
          <cell r="AN305">
            <v>-1028466.64</v>
          </cell>
          <cell r="AO305">
            <v>-1059231.3</v>
          </cell>
          <cell r="AP305">
            <v>-1130973.96</v>
          </cell>
          <cell r="AQ305">
            <v>-1115888.6200000001</v>
          </cell>
          <cell r="AR305">
            <v>-1144544.28</v>
          </cell>
          <cell r="AS305">
            <v>-1158591.94</v>
          </cell>
          <cell r="AT305">
            <v>-1187106.6000000001</v>
          </cell>
          <cell r="AU305">
            <v>-1198357.26</v>
          </cell>
          <cell r="AV305">
            <v>-795338.72</v>
          </cell>
          <cell r="AW305">
            <v>-823712.38</v>
          </cell>
          <cell r="AX305">
            <v>-852086.04</v>
          </cell>
          <cell r="AY305">
            <v>-880459.7</v>
          </cell>
          <cell r="AZ305">
            <v>-1108595.3600000001</v>
          </cell>
          <cell r="BA305">
            <v>-1114416.02</v>
          </cell>
          <cell r="BB305">
            <v>-1141602.68</v>
          </cell>
          <cell r="BC305">
            <v>-1168789.3400000001</v>
          </cell>
          <cell r="BD305">
            <v>-1195976</v>
          </cell>
          <cell r="BE305">
            <v>-1223162.6599999999</v>
          </cell>
          <cell r="BF305">
            <v>-1250349.32</v>
          </cell>
          <cell r="BG305">
            <v>-1244463.98</v>
          </cell>
          <cell r="BH305">
            <v>-1271746.6399999999</v>
          </cell>
          <cell r="BI305">
            <v>-1244705.8999999999</v>
          </cell>
          <cell r="BJ305">
            <v>-1271092.56</v>
          </cell>
          <cell r="BK305">
            <v>-1297479.22</v>
          </cell>
          <cell r="BL305">
            <v>-265207.92</v>
          </cell>
          <cell r="BM305">
            <v>-401554.9</v>
          </cell>
          <cell r="BN305">
            <v>-231041.24</v>
          </cell>
          <cell r="BO305">
            <v>-213957.9</v>
          </cell>
          <cell r="BP305">
            <v>-196874.56</v>
          </cell>
          <cell r="BQ305">
            <v>-179791.22</v>
          </cell>
          <cell r="BR305">
            <v>-162707.88</v>
          </cell>
          <cell r="BS305">
            <v>-145624.54</v>
          </cell>
          <cell r="BT305">
            <v>-114414.35</v>
          </cell>
          <cell r="BU305">
            <v>-97331.01</v>
          </cell>
          <cell r="BV305">
            <v>-80247.67</v>
          </cell>
          <cell r="BW305">
            <v>-63164.33</v>
          </cell>
          <cell r="BX305">
            <v>-372234.4</v>
          </cell>
          <cell r="BY305">
            <v>-355151.06</v>
          </cell>
          <cell r="BZ305">
            <v>-338067.72</v>
          </cell>
          <cell r="CA305">
            <v>-522053.38</v>
          </cell>
          <cell r="CB305">
            <v>-504970.04</v>
          </cell>
          <cell r="CC305">
            <v>-479413.43</v>
          </cell>
          <cell r="CD305">
            <v>-962330.09</v>
          </cell>
          <cell r="CE305">
            <v>-936770.64</v>
          </cell>
          <cell r="CF305">
            <v>-919687.3</v>
          </cell>
          <cell r="CG305">
            <v>-902603.96</v>
          </cell>
          <cell r="CH305">
            <v>-885520.62</v>
          </cell>
          <cell r="CI305">
            <v>-868437.28</v>
          </cell>
          <cell r="CJ305">
            <v>-806353.94</v>
          </cell>
          <cell r="CK305">
            <v>-789270.6</v>
          </cell>
          <cell r="CL305">
            <v>-752415.15</v>
          </cell>
          <cell r="CM305">
            <v>-735331.81</v>
          </cell>
          <cell r="CN305">
            <v>-718248.47</v>
          </cell>
          <cell r="CO305">
            <v>-701165.13</v>
          </cell>
          <cell r="CP305">
            <v>-184081.79</v>
          </cell>
          <cell r="CQ305">
            <v>-166998.45000000001</v>
          </cell>
          <cell r="CR305">
            <v>-143254.94</v>
          </cell>
          <cell r="CS305">
            <v>-1126171.6000000001</v>
          </cell>
          <cell r="CT305">
            <v>-1109088.26</v>
          </cell>
          <cell r="CU305">
            <v>-1092004.92</v>
          </cell>
          <cell r="CV305">
            <v>-1279921.58</v>
          </cell>
          <cell r="CW305">
            <v>-3262838.24</v>
          </cell>
          <cell r="CX305">
            <v>-3245754.9</v>
          </cell>
          <cell r="CY305">
            <v>-3228671.56</v>
          </cell>
          <cell r="CZ305">
            <v>-1211588.22</v>
          </cell>
          <cell r="DA305">
            <v>-1194504.8799999999</v>
          </cell>
          <cell r="DB305">
            <v>-1177421.54</v>
          </cell>
          <cell r="DC305">
            <v>-1160338.2</v>
          </cell>
          <cell r="DD305">
            <v>-1143254.8600000001</v>
          </cell>
          <cell r="DE305">
            <v>-1126171.52</v>
          </cell>
          <cell r="DF305">
            <v>-1109088.18</v>
          </cell>
          <cell r="DG305">
            <v>-1092004.8400000001</v>
          </cell>
          <cell r="DH305">
            <v>-1279921.5</v>
          </cell>
        </row>
        <row r="306">
          <cell r="A306" t="str">
            <v>2540040</v>
          </cell>
          <cell r="B306" t="str">
            <v>2540040</v>
          </cell>
          <cell r="C306" t="str">
            <v>Reg Liab-ConservCls</v>
          </cell>
          <cell r="D306">
            <v>0</v>
          </cell>
          <cell r="E306">
            <v>0</v>
          </cell>
          <cell r="F306">
            <v>0</v>
          </cell>
          <cell r="G306">
            <v>-241576</v>
          </cell>
          <cell r="H306">
            <v>-601932</v>
          </cell>
          <cell r="I306">
            <v>-738652</v>
          </cell>
          <cell r="J306">
            <v>-841461</v>
          </cell>
          <cell r="K306">
            <v>-329479</v>
          </cell>
          <cell r="L306">
            <v>-126566</v>
          </cell>
          <cell r="M306">
            <v>0</v>
          </cell>
          <cell r="N306">
            <v>0</v>
          </cell>
          <cell r="O306">
            <v>0</v>
          </cell>
          <cell r="P306">
            <v>-309544</v>
          </cell>
          <cell r="Q306">
            <v>-659480</v>
          </cell>
          <cell r="R306">
            <v>-1475794</v>
          </cell>
          <cell r="S306">
            <v>-2041769</v>
          </cell>
          <cell r="T306">
            <v>-2465779</v>
          </cell>
          <cell r="U306">
            <v>-2375088</v>
          </cell>
          <cell r="V306">
            <v>-2413828</v>
          </cell>
          <cell r="W306">
            <v>-2368427</v>
          </cell>
          <cell r="X306">
            <v>-2133861</v>
          </cell>
          <cell r="Y306">
            <v>-2017772</v>
          </cell>
          <cell r="Z306">
            <v>-1611765</v>
          </cell>
          <cell r="AA306">
            <v>-1765382</v>
          </cell>
          <cell r="AB306">
            <v>-2136461</v>
          </cell>
          <cell r="AC306">
            <v>-2294592</v>
          </cell>
          <cell r="AD306">
            <v>-2703966</v>
          </cell>
          <cell r="AE306">
            <v>-2839127</v>
          </cell>
          <cell r="AF306">
            <v>-2933478</v>
          </cell>
          <cell r="AG306">
            <v>-2612138</v>
          </cell>
          <cell r="AH306">
            <v>-2239911</v>
          </cell>
          <cell r="AI306">
            <v>-1934399</v>
          </cell>
          <cell r="AJ306">
            <v>-1137091</v>
          </cell>
          <cell r="AK306">
            <v>-917669</v>
          </cell>
          <cell r="AL306">
            <v>-312194</v>
          </cell>
          <cell r="AM306">
            <v>-290647</v>
          </cell>
          <cell r="AN306">
            <v>0</v>
          </cell>
          <cell r="AO306">
            <v>-771853</v>
          </cell>
          <cell r="AP306">
            <v>-1322874</v>
          </cell>
          <cell r="AQ306">
            <v>-1614664</v>
          </cell>
          <cell r="AR306">
            <v>-1899218</v>
          </cell>
          <cell r="AS306">
            <v>-1462185</v>
          </cell>
          <cell r="AT306">
            <v>-838539</v>
          </cell>
          <cell r="AU306">
            <v>-182620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-511351</v>
          </cell>
          <cell r="CX306">
            <v>-2149534</v>
          </cell>
          <cell r="CY306">
            <v>-1757017</v>
          </cell>
          <cell r="CZ306">
            <v>-2533930</v>
          </cell>
          <cell r="DA306">
            <v>-3255968</v>
          </cell>
          <cell r="DB306">
            <v>-4198707</v>
          </cell>
          <cell r="DC306">
            <v>-2816051</v>
          </cell>
          <cell r="DD306">
            <v>-2530232</v>
          </cell>
          <cell r="DE306">
            <v>-1877803</v>
          </cell>
          <cell r="DF306">
            <v>-1636684</v>
          </cell>
          <cell r="DG306">
            <v>-1405116</v>
          </cell>
          <cell r="DH306">
            <v>-1548438</v>
          </cell>
        </row>
        <row r="307">
          <cell r="A307" t="str">
            <v>2540071</v>
          </cell>
          <cell r="B307" t="str">
            <v>2540071</v>
          </cell>
          <cell r="C307" t="str">
            <v>Reg Liab-CI/BSR Ridr</v>
          </cell>
          <cell r="D307">
            <v>-34014</v>
          </cell>
          <cell r="E307">
            <v>-168819</v>
          </cell>
          <cell r="F307">
            <v>-294770</v>
          </cell>
          <cell r="G307">
            <v>-362064</v>
          </cell>
          <cell r="H307">
            <v>-407133</v>
          </cell>
          <cell r="I307">
            <v>-408590</v>
          </cell>
          <cell r="J307">
            <v>-391918</v>
          </cell>
          <cell r="K307">
            <v>-352611</v>
          </cell>
          <cell r="L307">
            <v>-287689</v>
          </cell>
          <cell r="M307">
            <v>-217781</v>
          </cell>
          <cell r="N307">
            <v>-138936</v>
          </cell>
          <cell r="O307">
            <v>-66999</v>
          </cell>
          <cell r="P307">
            <v>-36525</v>
          </cell>
          <cell r="Q307">
            <v>-247652</v>
          </cell>
          <cell r="R307">
            <v>-396516.45</v>
          </cell>
          <cell r="S307">
            <v>-519555.86</v>
          </cell>
          <cell r="T307">
            <v>-533813.54</v>
          </cell>
          <cell r="U307">
            <v>-485261.18</v>
          </cell>
          <cell r="V307">
            <v>-432287.55</v>
          </cell>
          <cell r="W307">
            <v>-347269.86</v>
          </cell>
          <cell r="X307">
            <v>-259001.34</v>
          </cell>
          <cell r="Y307">
            <v>-156849.62</v>
          </cell>
          <cell r="Z307">
            <v>-53799.71</v>
          </cell>
          <cell r="AA307">
            <v>0</v>
          </cell>
          <cell r="AB307">
            <v>0</v>
          </cell>
          <cell r="AC307">
            <v>-26878</v>
          </cell>
          <cell r="AD307">
            <v>-203108</v>
          </cell>
          <cell r="AE307">
            <v>-305204</v>
          </cell>
          <cell r="AF307">
            <v>-337180</v>
          </cell>
          <cell r="AG307">
            <v>-309654</v>
          </cell>
          <cell r="AH307">
            <v>-2235258</v>
          </cell>
          <cell r="AI307">
            <v>-2133680</v>
          </cell>
          <cell r="AJ307">
            <v>-1996856</v>
          </cell>
          <cell r="AK307">
            <v>-1873234</v>
          </cell>
          <cell r="AL307">
            <v>-1697504</v>
          </cell>
          <cell r="AM307">
            <v>-1569649</v>
          </cell>
          <cell r="AN307">
            <v>-1709368</v>
          </cell>
          <cell r="AO307">
            <v>-1651070</v>
          </cell>
          <cell r="AP307">
            <v>-1606776</v>
          </cell>
          <cell r="AQ307">
            <v>-1497895</v>
          </cell>
          <cell r="AR307">
            <v>-1361048</v>
          </cell>
          <cell r="AS307">
            <v>-1147256</v>
          </cell>
          <cell r="AT307">
            <v>-888871</v>
          </cell>
          <cell r="AU307">
            <v>-593554</v>
          </cell>
          <cell r="AV307">
            <v>-277240</v>
          </cell>
          <cell r="AW307">
            <v>0</v>
          </cell>
          <cell r="AX307">
            <v>0</v>
          </cell>
          <cell r="AY307">
            <v>0</v>
          </cell>
          <cell r="AZ307">
            <v>0</v>
          </cell>
          <cell r="BA307">
            <v>0</v>
          </cell>
          <cell r="BB307">
            <v>-48914</v>
          </cell>
          <cell r="BC307">
            <v>-265833</v>
          </cell>
          <cell r="BD307">
            <v>-496094</v>
          </cell>
          <cell r="BE307">
            <v>-872137</v>
          </cell>
          <cell r="BF307">
            <v>-800059</v>
          </cell>
          <cell r="BG307">
            <v>-704927</v>
          </cell>
          <cell r="BH307">
            <v>-566853</v>
          </cell>
          <cell r="BI307">
            <v>-459268</v>
          </cell>
          <cell r="BJ307">
            <v>-240150</v>
          </cell>
          <cell r="BK307">
            <v>-63302</v>
          </cell>
          <cell r="BL307">
            <v>-102065</v>
          </cell>
          <cell r="BM307">
            <v>-349910</v>
          </cell>
          <cell r="BN307">
            <v>-466300</v>
          </cell>
          <cell r="BO307">
            <v>-451730</v>
          </cell>
          <cell r="BP307">
            <v>-335091</v>
          </cell>
          <cell r="BQ307">
            <v>-98514</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-54906</v>
          </cell>
          <cell r="DA307">
            <v>-64228</v>
          </cell>
          <cell r="DB307">
            <v>-303347.89</v>
          </cell>
          <cell r="DC307">
            <v>-203345.89</v>
          </cell>
          <cell r="DD307">
            <v>-79917.89</v>
          </cell>
          <cell r="DE307">
            <v>0</v>
          </cell>
          <cell r="DF307">
            <v>0</v>
          </cell>
          <cell r="DG307">
            <v>0</v>
          </cell>
          <cell r="DH307">
            <v>0</v>
          </cell>
        </row>
        <row r="308">
          <cell r="A308" t="str">
            <v>2540105</v>
          </cell>
          <cell r="B308" t="str">
            <v>2540105</v>
          </cell>
          <cell r="C308" t="str">
            <v>Curr Dv-Regulatory</v>
          </cell>
          <cell r="D308">
            <v>-1083910</v>
          </cell>
          <cell r="E308">
            <v>-3450680</v>
          </cell>
          <cell r="F308">
            <v>-2417910</v>
          </cell>
          <cell r="G308">
            <v>-1479840</v>
          </cell>
          <cell r="H308">
            <v>-2608310</v>
          </cell>
          <cell r="I308">
            <v>-1045615</v>
          </cell>
          <cell r="J308">
            <v>-579510</v>
          </cell>
          <cell r="K308">
            <v>0</v>
          </cell>
          <cell r="L308">
            <v>-4975</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-2520</v>
          </cell>
          <cell r="AD308">
            <v>0</v>
          </cell>
          <cell r="AE308">
            <v>0</v>
          </cell>
          <cell r="AF308">
            <v>0</v>
          </cell>
          <cell r="AG308">
            <v>-3720</v>
          </cell>
          <cell r="AH308">
            <v>-235290</v>
          </cell>
          <cell r="AI308">
            <v>-215630</v>
          </cell>
          <cell r="AJ308">
            <v>-103720</v>
          </cell>
          <cell r="AK308">
            <v>-63240</v>
          </cell>
          <cell r="AL308">
            <v>-24520</v>
          </cell>
          <cell r="AM308">
            <v>-382970</v>
          </cell>
          <cell r="AN308">
            <v>-1721815</v>
          </cell>
          <cell r="AO308">
            <v>-428585</v>
          </cell>
          <cell r="AP308">
            <v>-31520</v>
          </cell>
          <cell r="AQ308">
            <v>-481000</v>
          </cell>
          <cell r="AR308">
            <v>-504425</v>
          </cell>
          <cell r="AS308">
            <v>-161805</v>
          </cell>
          <cell r="AT308">
            <v>-86755</v>
          </cell>
          <cell r="AU308">
            <v>-8450</v>
          </cell>
          <cell r="AV308">
            <v>-94105</v>
          </cell>
          <cell r="AW308">
            <v>-72175</v>
          </cell>
          <cell r="AX308">
            <v>0</v>
          </cell>
          <cell r="AY308">
            <v>-7230</v>
          </cell>
          <cell r="AZ308">
            <v>0</v>
          </cell>
          <cell r="BA308">
            <v>-77895</v>
          </cell>
          <cell r="BB308">
            <v>0</v>
          </cell>
          <cell r="BC308">
            <v>0</v>
          </cell>
          <cell r="BD308">
            <v>-2040</v>
          </cell>
          <cell r="BE308">
            <v>-20020</v>
          </cell>
          <cell r="BF308">
            <v>-15330</v>
          </cell>
          <cell r="BG308">
            <v>0</v>
          </cell>
          <cell r="BH308">
            <v>-3500</v>
          </cell>
          <cell r="BI308">
            <v>-10040</v>
          </cell>
          <cell r="BJ308">
            <v>-14650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row>
        <row r="309">
          <cell r="A309" t="str">
            <v>2540205</v>
          </cell>
          <cell r="B309" t="str">
            <v>2540205</v>
          </cell>
          <cell r="C309" t="str">
            <v>LT Dv-Regulatory</v>
          </cell>
          <cell r="D309">
            <v>-51235</v>
          </cell>
          <cell r="E309">
            <v>-113765</v>
          </cell>
          <cell r="F309">
            <v>-71605</v>
          </cell>
          <cell r="G309">
            <v>-25205</v>
          </cell>
          <cell r="H309">
            <v>-481885</v>
          </cell>
          <cell r="I309">
            <v>-134995</v>
          </cell>
          <cell r="J309">
            <v>-98245</v>
          </cell>
          <cell r="K309">
            <v>0</v>
          </cell>
          <cell r="L309">
            <v>0</v>
          </cell>
          <cell r="M309">
            <v>0</v>
          </cell>
          <cell r="N309">
            <v>0</v>
          </cell>
          <cell r="O309">
            <v>0</v>
          </cell>
          <cell r="P309">
            <v>0</v>
          </cell>
          <cell r="Q309">
            <v>0</v>
          </cell>
          <cell r="R309">
            <v>0</v>
          </cell>
          <cell r="S309">
            <v>0</v>
          </cell>
          <cell r="T309">
            <v>0</v>
          </cell>
          <cell r="U309">
            <v>0</v>
          </cell>
          <cell r="V309">
            <v>-360</v>
          </cell>
          <cell r="W309">
            <v>0</v>
          </cell>
          <cell r="X309">
            <v>0</v>
          </cell>
          <cell r="Y309">
            <v>0</v>
          </cell>
          <cell r="Z309">
            <v>0</v>
          </cell>
          <cell r="AA309">
            <v>0</v>
          </cell>
          <cell r="AB309">
            <v>0</v>
          </cell>
          <cell r="AC309">
            <v>0</v>
          </cell>
          <cell r="AD309">
            <v>0</v>
          </cell>
          <cell r="AE309">
            <v>-2790</v>
          </cell>
          <cell r="AF309">
            <v>-56285</v>
          </cell>
          <cell r="AG309">
            <v>-74965</v>
          </cell>
          <cell r="AH309">
            <v>-123345</v>
          </cell>
          <cell r="AI309">
            <v>-136115</v>
          </cell>
          <cell r="AJ309">
            <v>-97905</v>
          </cell>
          <cell r="AK309">
            <v>-55055</v>
          </cell>
          <cell r="AL309">
            <v>-128885</v>
          </cell>
          <cell r="AM309">
            <v>-149175</v>
          </cell>
          <cell r="AN309">
            <v>-267425</v>
          </cell>
          <cell r="AO309">
            <v>-106815</v>
          </cell>
          <cell r="AP309">
            <v>0</v>
          </cell>
          <cell r="AQ309">
            <v>-1880</v>
          </cell>
          <cell r="AR309">
            <v>-34420</v>
          </cell>
          <cell r="AS309">
            <v>-7720</v>
          </cell>
          <cell r="AT309">
            <v>-1520</v>
          </cell>
          <cell r="AU309">
            <v>0</v>
          </cell>
          <cell r="AV309">
            <v>-7090</v>
          </cell>
          <cell r="AW309">
            <v>-7570</v>
          </cell>
          <cell r="AX309">
            <v>-4800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row>
        <row r="310">
          <cell r="A310" t="str">
            <v>2540280</v>
          </cell>
          <cell r="B310" t="str">
            <v>2540280</v>
          </cell>
          <cell r="C310" t="str">
            <v>Reg Liab-PrpSal NC</v>
          </cell>
          <cell r="AF310">
            <v>0</v>
          </cell>
          <cell r="AG310">
            <v>0</v>
          </cell>
          <cell r="AH310">
            <v>-8562342.1899999995</v>
          </cell>
          <cell r="AI310">
            <v>-8428522.9900000002</v>
          </cell>
          <cell r="AJ310">
            <v>-8205577.9299999997</v>
          </cell>
          <cell r="AK310">
            <v>-8027195.7999999998</v>
          </cell>
          <cell r="AL310">
            <v>-7848813.6699999999</v>
          </cell>
          <cell r="AM310">
            <v>-7670431.54</v>
          </cell>
          <cell r="AN310">
            <v>-7492049.4100000001</v>
          </cell>
          <cell r="AO310">
            <v>-7313667.2800000003</v>
          </cell>
          <cell r="AP310">
            <v>-7135285.1500000004</v>
          </cell>
          <cell r="AQ310">
            <v>-6956903.0199999996</v>
          </cell>
          <cell r="AR310">
            <v>-6778520.8899999997</v>
          </cell>
          <cell r="AS310">
            <v>-6600138.7599999998</v>
          </cell>
          <cell r="AT310">
            <v>-6421756.6299999999</v>
          </cell>
          <cell r="AU310">
            <v>-6243374.5</v>
          </cell>
          <cell r="AV310">
            <v>-6064992.3700000001</v>
          </cell>
          <cell r="AW310">
            <v>-5886610.2400000002</v>
          </cell>
          <cell r="AX310">
            <v>-5708228.1100000003</v>
          </cell>
          <cell r="AY310">
            <v>-5529845.9800000004</v>
          </cell>
          <cell r="AZ310">
            <v>-5351463.8499999996</v>
          </cell>
          <cell r="BA310">
            <v>-5173081.72</v>
          </cell>
          <cell r="BB310">
            <v>-4994699.59</v>
          </cell>
          <cell r="BC310">
            <v>-4816317.46</v>
          </cell>
          <cell r="BD310">
            <v>-4637935.33</v>
          </cell>
          <cell r="BE310">
            <v>-4459553.2</v>
          </cell>
          <cell r="BF310">
            <v>-4281171.07</v>
          </cell>
          <cell r="BG310">
            <v>-4102788.94</v>
          </cell>
          <cell r="BH310">
            <v>-3924406.81</v>
          </cell>
          <cell r="BI310">
            <v>-3746024.68</v>
          </cell>
          <cell r="BJ310">
            <v>-3567642.55</v>
          </cell>
          <cell r="BK310">
            <v>-3389260.42</v>
          </cell>
          <cell r="BL310">
            <v>-3210878.29</v>
          </cell>
          <cell r="BM310">
            <v>-3032496.16</v>
          </cell>
          <cell r="BN310">
            <v>-2854114.03</v>
          </cell>
          <cell r="BO310">
            <v>-2675731.9</v>
          </cell>
          <cell r="BP310">
            <v>-2497349.77</v>
          </cell>
          <cell r="BQ310">
            <v>-2318967.64</v>
          </cell>
          <cell r="BR310">
            <v>-2140585.5099999998</v>
          </cell>
          <cell r="BS310">
            <v>-1962203.38</v>
          </cell>
          <cell r="BT310">
            <v>-1783821.25</v>
          </cell>
          <cell r="BU310">
            <v>-1605439.12</v>
          </cell>
          <cell r="BV310">
            <v>-1427056.99</v>
          </cell>
          <cell r="BW310">
            <v>-1248674.8600000001</v>
          </cell>
          <cell r="BX310">
            <v>-1070292.73</v>
          </cell>
          <cell r="BY310">
            <v>-891910.6</v>
          </cell>
          <cell r="BZ310">
            <v>-713528.47</v>
          </cell>
          <cell r="CA310">
            <v>-535146.34</v>
          </cell>
          <cell r="CB310">
            <v>-356764.21</v>
          </cell>
          <cell r="CC310">
            <v>-177449.58</v>
          </cell>
          <cell r="CD310">
            <v>-21447.55</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-645620.04</v>
          </cell>
          <cell r="CZ310">
            <v>-632169.62</v>
          </cell>
          <cell r="DA310">
            <v>-618719.19999999995</v>
          </cell>
          <cell r="DB310">
            <v>-605268.78</v>
          </cell>
          <cell r="DC310">
            <v>-2173474.94</v>
          </cell>
          <cell r="DD310">
            <v>-2127073.34</v>
          </cell>
          <cell r="DE310">
            <v>-2080671.74</v>
          </cell>
          <cell r="DF310">
            <v>-2034270.14</v>
          </cell>
          <cell r="DG310">
            <v>-1987868.54</v>
          </cell>
          <cell r="DH310">
            <v>-1941466.94</v>
          </cell>
        </row>
        <row r="311">
          <cell r="A311" t="str">
            <v>2540281</v>
          </cell>
          <cell r="B311" t="str">
            <v>2540281</v>
          </cell>
          <cell r="C311" t="str">
            <v>Reg Liab-PrpSal D NC</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row>
        <row r="312">
          <cell r="A312" t="str">
            <v>2540330</v>
          </cell>
          <cell r="B312" t="str">
            <v>2540330</v>
          </cell>
          <cell r="C312" t="str">
            <v>Reg Liab-Gas Reserch</v>
          </cell>
          <cell r="D312">
            <v>-676678.04</v>
          </cell>
          <cell r="E312">
            <v>-718344.71</v>
          </cell>
          <cell r="F312">
            <v>-760011.38</v>
          </cell>
          <cell r="G312">
            <v>-662078.05000000005</v>
          </cell>
          <cell r="H312">
            <v>-690244.72</v>
          </cell>
          <cell r="I312">
            <v>-731911.39</v>
          </cell>
          <cell r="J312">
            <v>-773578.06</v>
          </cell>
          <cell r="K312">
            <v>-815244.73</v>
          </cell>
          <cell r="L312">
            <v>-776159.91</v>
          </cell>
          <cell r="M312">
            <v>-817826.58</v>
          </cell>
          <cell r="N312">
            <v>-859493.25</v>
          </cell>
          <cell r="O312">
            <v>-887659.92</v>
          </cell>
          <cell r="P312">
            <v>-929326.59</v>
          </cell>
          <cell r="Q312">
            <v>-764326.59</v>
          </cell>
          <cell r="R312">
            <v>-764326.59</v>
          </cell>
          <cell r="S312">
            <v>-609963.93999999994</v>
          </cell>
          <cell r="T312">
            <v>-565119.14</v>
          </cell>
          <cell r="U312">
            <v>-547299.71</v>
          </cell>
          <cell r="V312">
            <v>-560293.04</v>
          </cell>
          <cell r="W312">
            <v>-546255.09</v>
          </cell>
          <cell r="X312">
            <v>-546255.09</v>
          </cell>
          <cell r="Y312">
            <v>-507492.84</v>
          </cell>
          <cell r="Z312">
            <v>-507492.84</v>
          </cell>
          <cell r="AA312">
            <v>-507492.84</v>
          </cell>
          <cell r="AB312">
            <v>-482492.84</v>
          </cell>
          <cell r="AC312">
            <v>-458983.96</v>
          </cell>
          <cell r="AD312">
            <v>-458983.96</v>
          </cell>
          <cell r="AE312">
            <v>-293983.96000000002</v>
          </cell>
          <cell r="AF312">
            <v>-160383.96</v>
          </cell>
          <cell r="AG312">
            <v>-160383.96</v>
          </cell>
          <cell r="AH312">
            <v>-160383.96</v>
          </cell>
          <cell r="AI312">
            <v>-160383.96</v>
          </cell>
          <cell r="AJ312">
            <v>-157883.96</v>
          </cell>
          <cell r="AK312">
            <v>-157883.96</v>
          </cell>
          <cell r="AL312">
            <v>-157883.96</v>
          </cell>
          <cell r="AM312">
            <v>-157883.96</v>
          </cell>
          <cell r="AN312">
            <v>0</v>
          </cell>
          <cell r="AO312">
            <v>-41666.67</v>
          </cell>
          <cell r="AP312">
            <v>-58333.32</v>
          </cell>
          <cell r="AQ312">
            <v>-77489.259999999995</v>
          </cell>
          <cell r="AR312">
            <v>37495.919999999998</v>
          </cell>
          <cell r="AS312">
            <v>9411.5</v>
          </cell>
          <cell r="AT312">
            <v>-6875.26</v>
          </cell>
          <cell r="AU312">
            <v>-36041.919999999998</v>
          </cell>
          <cell r="AV312">
            <v>-64645.82</v>
          </cell>
          <cell r="AW312">
            <v>-93812.479999999996</v>
          </cell>
          <cell r="AX312">
            <v>-122979.14</v>
          </cell>
          <cell r="AY312">
            <v>-145357.69</v>
          </cell>
          <cell r="AZ312">
            <v>-0.63</v>
          </cell>
          <cell r="BA312">
            <v>-33333.96</v>
          </cell>
          <cell r="BB312">
            <v>-66667.289999999994</v>
          </cell>
          <cell r="BC312">
            <v>-100000.62</v>
          </cell>
          <cell r="BD312">
            <v>-133333.95000000001</v>
          </cell>
          <cell r="BE312">
            <v>-148862.35999999999</v>
          </cell>
          <cell r="BF312">
            <v>304.31</v>
          </cell>
          <cell r="BG312">
            <v>-30483.02</v>
          </cell>
          <cell r="BH312">
            <v>-63816.35</v>
          </cell>
          <cell r="BI312">
            <v>-97149.68</v>
          </cell>
          <cell r="BJ312">
            <v>-109048.24</v>
          </cell>
          <cell r="BK312">
            <v>-142381.57</v>
          </cell>
          <cell r="BL312">
            <v>-10714.9</v>
          </cell>
          <cell r="BM312">
            <v>-52381.57</v>
          </cell>
          <cell r="BN312">
            <v>-94048.24</v>
          </cell>
          <cell r="BO312">
            <v>46785.09</v>
          </cell>
          <cell r="BP312">
            <v>6073.35</v>
          </cell>
          <cell r="BQ312">
            <v>-34592.800000000003</v>
          </cell>
          <cell r="BR312">
            <v>-76259.47</v>
          </cell>
          <cell r="BS312">
            <v>-91582.51</v>
          </cell>
          <cell r="BT312">
            <v>-133249.18</v>
          </cell>
          <cell r="BU312">
            <v>-174915.85</v>
          </cell>
          <cell r="BV312">
            <v>-216582.52</v>
          </cell>
          <cell r="BW312">
            <v>-258249.19</v>
          </cell>
          <cell r="BX312">
            <v>-128515.18</v>
          </cell>
          <cell r="BY312">
            <v>-170181.85</v>
          </cell>
          <cell r="BZ312">
            <v>-211848.52</v>
          </cell>
          <cell r="CA312">
            <v>-53515.19</v>
          </cell>
          <cell r="CB312">
            <v>-95181.86</v>
          </cell>
          <cell r="CC312">
            <v>-111848.53</v>
          </cell>
          <cell r="CD312">
            <v>-153515.20000000001</v>
          </cell>
          <cell r="CE312">
            <v>-195181.87</v>
          </cell>
          <cell r="CF312">
            <v>-172788.87</v>
          </cell>
          <cell r="CG312">
            <v>-172788.87</v>
          </cell>
          <cell r="CH312">
            <v>-172788.87</v>
          </cell>
          <cell r="CI312">
            <v>-172788.87</v>
          </cell>
          <cell r="CJ312">
            <v>-372788.87</v>
          </cell>
          <cell r="CK312">
            <v>-182788.87</v>
          </cell>
          <cell r="CL312">
            <v>-182788.87</v>
          </cell>
          <cell r="CM312">
            <v>17211.13</v>
          </cell>
          <cell r="CN312">
            <v>17211.13</v>
          </cell>
          <cell r="CO312">
            <v>17211.13</v>
          </cell>
          <cell r="CP312">
            <v>0</v>
          </cell>
          <cell r="CQ312">
            <v>0</v>
          </cell>
          <cell r="CR312">
            <v>0</v>
          </cell>
          <cell r="CS312">
            <v>0</v>
          </cell>
          <cell r="CT312">
            <v>0</v>
          </cell>
          <cell r="CU312">
            <v>0</v>
          </cell>
          <cell r="CV312">
            <v>0</v>
          </cell>
          <cell r="CW312">
            <v>0</v>
          </cell>
          <cell r="CX312">
            <v>0</v>
          </cell>
          <cell r="CY312">
            <v>200000</v>
          </cell>
          <cell r="CZ312">
            <v>0</v>
          </cell>
          <cell r="DA312">
            <v>0</v>
          </cell>
          <cell r="DB312">
            <v>0</v>
          </cell>
          <cell r="DC312">
            <v>0</v>
          </cell>
          <cell r="DD312">
            <v>0</v>
          </cell>
          <cell r="DE312">
            <v>0</v>
          </cell>
          <cell r="DF312">
            <v>0</v>
          </cell>
          <cell r="DG312">
            <v>0</v>
          </cell>
          <cell r="DH312">
            <v>0</v>
          </cell>
        </row>
        <row r="313">
          <cell r="A313">
            <v>2540331</v>
          </cell>
          <cell r="B313">
            <v>2540331</v>
          </cell>
          <cell r="C313" t="str">
            <v>Reg Liab-TIMP Accr C</v>
          </cell>
          <cell r="CY313">
            <v>0</v>
          </cell>
          <cell r="CZ313">
            <v>0</v>
          </cell>
          <cell r="DA313">
            <v>0</v>
          </cell>
          <cell r="DB313">
            <v>0</v>
          </cell>
          <cell r="DC313">
            <v>0</v>
          </cell>
          <cell r="DD313">
            <v>0</v>
          </cell>
          <cell r="DE313">
            <v>-186245.36</v>
          </cell>
          <cell r="DF313">
            <v>-258812.51</v>
          </cell>
          <cell r="DG313">
            <v>0</v>
          </cell>
          <cell r="DH313">
            <v>0</v>
          </cell>
        </row>
        <row r="314">
          <cell r="A314" t="str">
            <v>2540340</v>
          </cell>
          <cell r="B314" t="str">
            <v>2540340</v>
          </cell>
          <cell r="C314" t="str">
            <v>Reg Liab-MGP Remed</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row>
        <row r="315">
          <cell r="A315" t="str">
            <v>2540610</v>
          </cell>
          <cell r="B315" t="str">
            <v>2540610</v>
          </cell>
          <cell r="C315" t="str">
            <v>Reg Liab-FAS 106 Tax</v>
          </cell>
          <cell r="AO315">
            <v>0</v>
          </cell>
          <cell r="AP315">
            <v>0</v>
          </cell>
          <cell r="AQ315">
            <v>0</v>
          </cell>
          <cell r="AR315">
            <v>0</v>
          </cell>
          <cell r="AS315">
            <v>0</v>
          </cell>
          <cell r="AT315">
            <v>0</v>
          </cell>
          <cell r="AU315">
            <v>0</v>
          </cell>
          <cell r="AV315">
            <v>0</v>
          </cell>
          <cell r="AW315">
            <v>0</v>
          </cell>
          <cell r="AX315">
            <v>0</v>
          </cell>
          <cell r="AY315">
            <v>0</v>
          </cell>
          <cell r="AZ315">
            <v>-89215247.840000004</v>
          </cell>
          <cell r="BA315">
            <v>-88993618.829999998</v>
          </cell>
          <cell r="BB315">
            <v>-88772694.959999993</v>
          </cell>
          <cell r="BC315">
            <v>-88827824.640000001</v>
          </cell>
          <cell r="BD315">
            <v>-88698688.569999993</v>
          </cell>
          <cell r="BE315">
            <v>-89028647.75</v>
          </cell>
          <cell r="BF315">
            <v>-88991326.840000004</v>
          </cell>
          <cell r="BG315">
            <v>-88954005.790000007</v>
          </cell>
          <cell r="BH315">
            <v>-88929436.260000005</v>
          </cell>
          <cell r="BI315">
            <v>-88893709.109999999</v>
          </cell>
          <cell r="BJ315">
            <v>-88857982.060000002</v>
          </cell>
          <cell r="BK315">
            <v>-90723707.120000005</v>
          </cell>
          <cell r="BL315">
            <v>-90687980.010000005</v>
          </cell>
          <cell r="BM315">
            <v>-90707229.579999998</v>
          </cell>
          <cell r="BN315">
            <v>-90773562.260000005</v>
          </cell>
          <cell r="BO315">
            <v>-90817020.25</v>
          </cell>
          <cell r="BP315">
            <v>-90859144.519999996</v>
          </cell>
          <cell r="BQ315">
            <v>-90901935.640000001</v>
          </cell>
          <cell r="BR315">
            <v>-90944726.75</v>
          </cell>
          <cell r="BS315">
            <v>-90987517.769999996</v>
          </cell>
          <cell r="BT315">
            <v>-91073669.359999999</v>
          </cell>
          <cell r="BU315">
            <v>-89875621.409999996</v>
          </cell>
          <cell r="BV315">
            <v>-89923023.269999996</v>
          </cell>
          <cell r="BW315">
            <v>-89970425.319999993</v>
          </cell>
          <cell r="BX315">
            <v>-90472776.099999994</v>
          </cell>
          <cell r="BY315">
            <v>-90499955.489999995</v>
          </cell>
          <cell r="BZ315">
            <v>-90518828.609999999</v>
          </cell>
          <cell r="CA315">
            <v>-90372737.219999999</v>
          </cell>
          <cell r="CB315">
            <v>-90395169.049999997</v>
          </cell>
          <cell r="CC315">
            <v>-90417623.329999998</v>
          </cell>
          <cell r="CD315">
            <v>-90530783.329999998</v>
          </cell>
          <cell r="CE315">
            <v>-90553345.189999998</v>
          </cell>
          <cell r="CF315">
            <v>-90531840.560000002</v>
          </cell>
          <cell r="CG315">
            <v>-90637383.310000002</v>
          </cell>
          <cell r="CH315">
            <v>-93142210.879999995</v>
          </cell>
          <cell r="CI315">
            <v>-93187157.530000001</v>
          </cell>
          <cell r="CJ315">
            <v>-93201281.370000005</v>
          </cell>
          <cell r="CK315">
            <v>-93223383.650000006</v>
          </cell>
          <cell r="CL315">
            <v>-93198140.409999996</v>
          </cell>
          <cell r="CM315">
            <v>-93042872.780000001</v>
          </cell>
          <cell r="CN315">
            <v>-93138408.629999995</v>
          </cell>
          <cell r="CO315">
            <v>-93162182.030000001</v>
          </cell>
          <cell r="CP315">
            <v>-92987853.989999995</v>
          </cell>
          <cell r="CQ315">
            <v>-93010829.170000002</v>
          </cell>
          <cell r="CR315">
            <v>-93034141.939999998</v>
          </cell>
          <cell r="CS315">
            <v>-92792742.819999993</v>
          </cell>
          <cell r="CT315">
            <v>-92761579.930000007</v>
          </cell>
          <cell r="CU315">
            <v>-93212284.239999995</v>
          </cell>
          <cell r="CV315">
            <v>-88446090.120000005</v>
          </cell>
          <cell r="CW315">
            <v>-88506456.180000007</v>
          </cell>
          <cell r="CX315">
            <v>-88566338.359999999</v>
          </cell>
          <cell r="CY315">
            <v>-88307192.769999996</v>
          </cell>
          <cell r="CZ315">
            <v>-88362329.349999994</v>
          </cell>
          <cell r="DA315">
            <v>-88416495.030000001</v>
          </cell>
          <cell r="DB315">
            <v>-88290717.590000004</v>
          </cell>
          <cell r="DC315">
            <v>-88341331.810000002</v>
          </cell>
          <cell r="DD315">
            <v>-88539586.890000001</v>
          </cell>
          <cell r="DE315">
            <v>-88612189.200000003</v>
          </cell>
          <cell r="DF315">
            <v>-88681888.730000004</v>
          </cell>
          <cell r="DG315">
            <v>-88752434.620000005</v>
          </cell>
          <cell r="DH315">
            <v>-88659849.129999995</v>
          </cell>
        </row>
        <row r="316">
          <cell r="A316" t="str">
            <v>2540612</v>
          </cell>
          <cell r="B316" t="str">
            <v>2540612</v>
          </cell>
          <cell r="C316" t="str">
            <v>Reg Liab-TaxReform C</v>
          </cell>
          <cell r="BA316">
            <v>0</v>
          </cell>
          <cell r="BB316">
            <v>-1338154</v>
          </cell>
          <cell r="BC316">
            <v>-2469709</v>
          </cell>
          <cell r="BD316">
            <v>-3636944</v>
          </cell>
          <cell r="BE316">
            <v>-3920470</v>
          </cell>
          <cell r="BF316">
            <v>-4641906</v>
          </cell>
          <cell r="BG316">
            <v>-5353653</v>
          </cell>
          <cell r="BH316">
            <v>-6054063</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-720499.67</v>
          </cell>
          <cell r="CT316">
            <v>-689096.16</v>
          </cell>
          <cell r="CU316">
            <v>-755581.77</v>
          </cell>
          <cell r="CV316">
            <v>-851583.89</v>
          </cell>
          <cell r="CW316">
            <v>-851583.89</v>
          </cell>
          <cell r="CX316">
            <v>-851583.89</v>
          </cell>
          <cell r="CY316">
            <v>-851583.89</v>
          </cell>
          <cell r="CZ316">
            <v>-851583.89</v>
          </cell>
          <cell r="DA316">
            <v>-843750.89</v>
          </cell>
          <cell r="DB316">
            <v>0</v>
          </cell>
          <cell r="DC316">
            <v>0</v>
          </cell>
          <cell r="DD316">
            <v>0</v>
          </cell>
          <cell r="DE316">
            <v>0</v>
          </cell>
          <cell r="DF316">
            <v>0</v>
          </cell>
          <cell r="DG316">
            <v>0</v>
          </cell>
          <cell r="DH316">
            <v>0</v>
          </cell>
        </row>
        <row r="317">
          <cell r="A317" t="str">
            <v>2550000</v>
          </cell>
          <cell r="B317" t="str">
            <v>2550000</v>
          </cell>
          <cell r="C317" t="str">
            <v>AcDfd Invest Tax Cr</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row>
        <row r="318">
          <cell r="A318" t="str">
            <v>2820300</v>
          </cell>
          <cell r="B318" t="str">
            <v>2820300</v>
          </cell>
          <cell r="C318" t="str">
            <v>DIT Oth Prop Fed</v>
          </cell>
          <cell r="D318">
            <v>-122615853.91</v>
          </cell>
          <cell r="E318">
            <v>-123076186.52</v>
          </cell>
          <cell r="F318">
            <v>-123327926.92</v>
          </cell>
          <cell r="G318">
            <v>-123565413.86</v>
          </cell>
          <cell r="H318">
            <v>-123799389.37</v>
          </cell>
          <cell r="I318">
            <v>-124039382.19</v>
          </cell>
          <cell r="J318">
            <v>-124210045.81</v>
          </cell>
          <cell r="K318">
            <v>-124421950.09</v>
          </cell>
          <cell r="L318">
            <v>-124666991.66</v>
          </cell>
          <cell r="M318">
            <v>-126254397.84</v>
          </cell>
          <cell r="N318">
            <v>-126024681.02</v>
          </cell>
          <cell r="O318">
            <v>-125344402.18000001</v>
          </cell>
          <cell r="P318">
            <v>-133327472.54000001</v>
          </cell>
          <cell r="Q318">
            <v>-133675559.31</v>
          </cell>
          <cell r="R318">
            <v>-134052424.42</v>
          </cell>
          <cell r="S318">
            <v>-134448704.25999999</v>
          </cell>
          <cell r="T318">
            <v>-134826672.28999999</v>
          </cell>
          <cell r="U318">
            <v>-135100341.31999999</v>
          </cell>
          <cell r="V318">
            <v>-135486377.36000001</v>
          </cell>
          <cell r="W318">
            <v>-135370609.62</v>
          </cell>
          <cell r="X318">
            <v>-135680190.96000001</v>
          </cell>
          <cell r="Y318">
            <v>-137237134.41</v>
          </cell>
          <cell r="Z318">
            <v>-137816724.06</v>
          </cell>
          <cell r="AA318">
            <v>-138275761.22999999</v>
          </cell>
          <cell r="AB318">
            <v>-147756175.68000001</v>
          </cell>
          <cell r="AC318">
            <v>-149187291</v>
          </cell>
          <cell r="AD318">
            <v>-150392501.62</v>
          </cell>
          <cell r="AE318">
            <v>-151606018.81</v>
          </cell>
          <cell r="AF318">
            <v>-152854706.46000001</v>
          </cell>
          <cell r="AG318">
            <v>-154128594.28999999</v>
          </cell>
          <cell r="AH318">
            <v>-154864776.68000001</v>
          </cell>
          <cell r="AI318">
            <v>-156022321.74000001</v>
          </cell>
          <cell r="AJ318">
            <v>-157598733.38999999</v>
          </cell>
          <cell r="AK318">
            <v>-157639277.90000001</v>
          </cell>
          <cell r="AL318">
            <v>-159096807.59999999</v>
          </cell>
          <cell r="AM318">
            <v>-160685015.93000001</v>
          </cell>
          <cell r="AN318">
            <v>-169921088.58000001</v>
          </cell>
          <cell r="AO318">
            <v>-171565743.47</v>
          </cell>
          <cell r="AP318">
            <v>-173167388.58000001</v>
          </cell>
          <cell r="AQ318">
            <v>-175913638.03999999</v>
          </cell>
          <cell r="AR318">
            <v>-177720347.08000001</v>
          </cell>
          <cell r="AS318">
            <v>-180342713.16999999</v>
          </cell>
          <cell r="AT318">
            <v>-182827155.59</v>
          </cell>
          <cell r="AU318">
            <v>-185170703.41</v>
          </cell>
          <cell r="AV318">
            <v>-187263114.53999999</v>
          </cell>
          <cell r="AW318">
            <v>-189281970.77000001</v>
          </cell>
          <cell r="AX318">
            <v>-191379135.31</v>
          </cell>
          <cell r="AY318">
            <v>-193643590.25</v>
          </cell>
          <cell r="AZ318">
            <v>-188795000.62</v>
          </cell>
          <cell r="BA318">
            <v>-189363634.58000001</v>
          </cell>
          <cell r="BB318">
            <v>-189971729.88</v>
          </cell>
          <cell r="BC318">
            <v>-190805639.31</v>
          </cell>
          <cell r="BD318">
            <v>-191365827.52000001</v>
          </cell>
          <cell r="BE318">
            <v>-192348755.31999999</v>
          </cell>
          <cell r="BF318">
            <v>-192979269.93000001</v>
          </cell>
          <cell r="BG318">
            <v>-193661245.62</v>
          </cell>
          <cell r="BH318">
            <v>-195222890.97999999</v>
          </cell>
          <cell r="BI318">
            <v>-196003401.43000001</v>
          </cell>
          <cell r="BJ318">
            <v>-196840666.52000001</v>
          </cell>
          <cell r="BK318">
            <v>-201608567.28999999</v>
          </cell>
          <cell r="BL318">
            <v>-200049128.27000001</v>
          </cell>
          <cell r="BM318">
            <v>-200665758.78</v>
          </cell>
          <cell r="BN318">
            <v>-201755829.72</v>
          </cell>
          <cell r="BO318">
            <v>-202560232.31999999</v>
          </cell>
          <cell r="BP318">
            <v>-203394896.88999999</v>
          </cell>
          <cell r="BQ318">
            <v>-204230000.27000001</v>
          </cell>
          <cell r="BR318">
            <v>-205101326.43000001</v>
          </cell>
          <cell r="BS318">
            <v>-205950878.00999999</v>
          </cell>
          <cell r="BT318">
            <v>-206814258.53999999</v>
          </cell>
          <cell r="BU318">
            <v>-207613971.40000001</v>
          </cell>
          <cell r="BV318">
            <v>-208303128.11000001</v>
          </cell>
          <cell r="BW318">
            <v>-209137200.27000001</v>
          </cell>
          <cell r="BX318">
            <v>-210576181.94999999</v>
          </cell>
          <cell r="BY318">
            <v>-210367766.71000001</v>
          </cell>
          <cell r="BZ318">
            <v>-212616296.28999999</v>
          </cell>
          <cell r="CA318">
            <v>-213769224.31999999</v>
          </cell>
          <cell r="CB318">
            <v>-214568854.36000001</v>
          </cell>
          <cell r="CC318">
            <v>-215642926.15000001</v>
          </cell>
          <cell r="CD318">
            <v>-216611495.66999999</v>
          </cell>
          <cell r="CE318">
            <v>-217659597.24000001</v>
          </cell>
          <cell r="CF318">
            <v>-218084746.78</v>
          </cell>
          <cell r="CG318">
            <v>-219157462.41999999</v>
          </cell>
          <cell r="CH318">
            <v>-221209750.56</v>
          </cell>
          <cell r="CI318">
            <v>-222049281.22999999</v>
          </cell>
          <cell r="CJ318">
            <v>-223534163.84999999</v>
          </cell>
          <cell r="CK318">
            <v>-224520933.09</v>
          </cell>
          <cell r="CL318">
            <v>-225664292.99000001</v>
          </cell>
          <cell r="CM318">
            <v>-226608890.53</v>
          </cell>
          <cell r="CN318">
            <v>-227992510.74000001</v>
          </cell>
          <cell r="CO318">
            <v>-229401809.71000001</v>
          </cell>
          <cell r="CP318">
            <v>-229390954.59</v>
          </cell>
          <cell r="CQ318">
            <v>-230599723.44999999</v>
          </cell>
          <cell r="CR318">
            <v>-231348744</v>
          </cell>
          <cell r="CS318">
            <v>-232161745.74000001</v>
          </cell>
          <cell r="CT318">
            <v>-233043165.18000001</v>
          </cell>
          <cell r="CU318">
            <v>-235254948.59999999</v>
          </cell>
          <cell r="CV318">
            <v>-233873540.72</v>
          </cell>
          <cell r="CW318">
            <v>-235397720.00999999</v>
          </cell>
          <cell r="CX318">
            <v>-237024656.97</v>
          </cell>
          <cell r="CY318">
            <v>-238021827</v>
          </cell>
          <cell r="CZ318">
            <v>-239624222.66</v>
          </cell>
          <cell r="DA318">
            <v>-241063714.13999999</v>
          </cell>
          <cell r="DB318">
            <v>-242511282.21000001</v>
          </cell>
          <cell r="DC318">
            <v>-243680677.34</v>
          </cell>
          <cell r="DD318">
            <v>-247340790.43000001</v>
          </cell>
          <cell r="DE318">
            <v>-248841725.38999999</v>
          </cell>
          <cell r="DF318">
            <v>-250569746.59</v>
          </cell>
          <cell r="DG318">
            <v>-252352121.37</v>
          </cell>
          <cell r="DH318">
            <v>-253908091.19</v>
          </cell>
        </row>
        <row r="319">
          <cell r="A319" t="str">
            <v>2820400</v>
          </cell>
          <cell r="B319" t="str">
            <v>2820400</v>
          </cell>
          <cell r="C319" t="str">
            <v>DIT Oth Prop State</v>
          </cell>
          <cell r="D319">
            <v>-13402682.039999999</v>
          </cell>
          <cell r="E319">
            <v>-13575578.130000001</v>
          </cell>
          <cell r="F319">
            <v>-13713787.68</v>
          </cell>
          <cell r="G319">
            <v>-13849627.039999999</v>
          </cell>
          <cell r="H319">
            <v>-13984882.49</v>
          </cell>
          <cell r="I319">
            <v>-14121138.550000001</v>
          </cell>
          <cell r="J319">
            <v>-14245865.939999999</v>
          </cell>
          <cell r="K319">
            <v>-14377451.17</v>
          </cell>
          <cell r="L319">
            <v>-14514546.789999999</v>
          </cell>
          <cell r="M319">
            <v>-14632061.550000001</v>
          </cell>
          <cell r="N319">
            <v>-14831581.42</v>
          </cell>
          <cell r="O319">
            <v>-14956177.869999999</v>
          </cell>
          <cell r="P319">
            <v>-15386861.289999999</v>
          </cell>
          <cell r="Q319">
            <v>-15539731.439999999</v>
          </cell>
          <cell r="R319">
            <v>-15697387.1</v>
          </cell>
          <cell r="S319">
            <v>-15858271.210000001</v>
          </cell>
          <cell r="T319">
            <v>-16016110.27</v>
          </cell>
          <cell r="U319">
            <v>-16156605.59</v>
          </cell>
          <cell r="V319">
            <v>-16315786.279999999</v>
          </cell>
          <cell r="W319">
            <v>-16391522.65</v>
          </cell>
          <cell r="X319">
            <v>-16537989.77</v>
          </cell>
          <cell r="Y319">
            <v>-16704561.199999999</v>
          </cell>
          <cell r="Z319">
            <v>-16894278.73</v>
          </cell>
          <cell r="AA319">
            <v>-17063949.739999998</v>
          </cell>
          <cell r="AB319">
            <v>-17381543.600000001</v>
          </cell>
          <cell r="AC319">
            <v>-17598742.010000002</v>
          </cell>
          <cell r="AD319">
            <v>-17778375.010000002</v>
          </cell>
          <cell r="AE319">
            <v>-17959389.32</v>
          </cell>
          <cell r="AF319">
            <v>-18146252.059999999</v>
          </cell>
          <cell r="AG319">
            <v>-18337305.329999998</v>
          </cell>
          <cell r="AH319">
            <v>-18274447.27</v>
          </cell>
          <cell r="AI319">
            <v>-18446154.030000001</v>
          </cell>
          <cell r="AJ319">
            <v>-18707365</v>
          </cell>
          <cell r="AK319">
            <v>-18897051.82</v>
          </cell>
          <cell r="AL319">
            <v>-19138494.07</v>
          </cell>
          <cell r="AM319">
            <v>-19401666.670000002</v>
          </cell>
          <cell r="AN319">
            <v>-20737319.989999998</v>
          </cell>
          <cell r="AO319">
            <v>-21010411.5</v>
          </cell>
          <cell r="AP319">
            <v>-21276350.949999999</v>
          </cell>
          <cell r="AQ319">
            <v>-21584637.98</v>
          </cell>
          <cell r="AR319">
            <v>-21835348.210000001</v>
          </cell>
          <cell r="AS319">
            <v>-22292037.050000001</v>
          </cell>
          <cell r="AT319">
            <v>-22669515.48</v>
          </cell>
          <cell r="AU319">
            <v>-23023564.719999999</v>
          </cell>
          <cell r="AV319">
            <v>-23335852.789999999</v>
          </cell>
          <cell r="AW319">
            <v>-23635909.5</v>
          </cell>
          <cell r="AX319">
            <v>-23948987.98</v>
          </cell>
          <cell r="AY319">
            <v>-24289884.969999999</v>
          </cell>
          <cell r="AZ319">
            <v>-24319752.199999999</v>
          </cell>
          <cell r="BA319">
            <v>-24641444.02</v>
          </cell>
          <cell r="BB319">
            <v>-24973834.41</v>
          </cell>
          <cell r="BC319">
            <v>-25320046.27</v>
          </cell>
          <cell r="BD319">
            <v>-25622980.530000001</v>
          </cell>
          <cell r="BE319">
            <v>-25948088.809999999</v>
          </cell>
          <cell r="BF319">
            <v>-26251519.59</v>
          </cell>
          <cell r="BG319">
            <v>-26569212.73</v>
          </cell>
          <cell r="BH319">
            <v>-26724419.920000002</v>
          </cell>
          <cell r="BI319">
            <v>-27018636.129999999</v>
          </cell>
          <cell r="BJ319">
            <v>-27328581.84</v>
          </cell>
          <cell r="BK319">
            <v>-27745441.219999999</v>
          </cell>
          <cell r="BL319">
            <v>-28398693.719999999</v>
          </cell>
          <cell r="BM319">
            <v>-28728328.359999999</v>
          </cell>
          <cell r="BN319">
            <v>-29150518.579999998</v>
          </cell>
          <cell r="BO319">
            <v>-29512865.129999999</v>
          </cell>
          <cell r="BP319">
            <v>-29883598.739999998</v>
          </cell>
          <cell r="BQ319">
            <v>-30254453.960000001</v>
          </cell>
          <cell r="BR319">
            <v>-30635348.23</v>
          </cell>
          <cell r="BS319">
            <v>-31010207.739999998</v>
          </cell>
          <cell r="BT319">
            <v>-31379928.420000002</v>
          </cell>
          <cell r="BU319">
            <v>-31077454.34</v>
          </cell>
          <cell r="BV319">
            <v>-31341578.190000001</v>
          </cell>
          <cell r="BW319">
            <v>-31637900.949999999</v>
          </cell>
          <cell r="BX319">
            <v>-32014203.829999998</v>
          </cell>
          <cell r="BY319">
            <v>-32061646.57</v>
          </cell>
          <cell r="BZ319">
            <v>-32656328.550000001</v>
          </cell>
          <cell r="CA319">
            <v>-33006758.989999998</v>
          </cell>
          <cell r="CB319">
            <v>-33279031.73</v>
          </cell>
          <cell r="CC319">
            <v>-33612268.350000001</v>
          </cell>
          <cell r="CD319">
            <v>-33921729.619999997</v>
          </cell>
          <cell r="CE319">
            <v>-34249125.43</v>
          </cell>
          <cell r="CF319">
            <v>-34379553.640000001</v>
          </cell>
          <cell r="CG319">
            <v>-34778994.710000001</v>
          </cell>
          <cell r="CH319">
            <v>-35343431.18</v>
          </cell>
          <cell r="CI319">
            <v>-35620809.350000001</v>
          </cell>
          <cell r="CJ319">
            <v>-36178539.149999999</v>
          </cell>
          <cell r="CK319">
            <v>-36475516.869999997</v>
          </cell>
          <cell r="CL319">
            <v>-36815282.32</v>
          </cell>
          <cell r="CM319">
            <v>-37025139.780000001</v>
          </cell>
          <cell r="CN319">
            <v>-37398334.32</v>
          </cell>
          <cell r="CO319">
            <v>-37788931.399999999</v>
          </cell>
          <cell r="CP319">
            <v>-37781239.310000002</v>
          </cell>
          <cell r="CQ319">
            <v>-38127633.829999998</v>
          </cell>
          <cell r="CR319">
            <v>-38371655.57</v>
          </cell>
          <cell r="CS319">
            <v>-37959760.520000003</v>
          </cell>
          <cell r="CT319">
            <v>-38220423.310000002</v>
          </cell>
          <cell r="CU319">
            <v>-38641248.5</v>
          </cell>
          <cell r="CV319">
            <v>-38597245.740000002</v>
          </cell>
          <cell r="CW319">
            <v>-39071563.479999997</v>
          </cell>
          <cell r="CX319">
            <v>-39574755.359999999</v>
          </cell>
          <cell r="CY319">
            <v>-39906837.039999999</v>
          </cell>
          <cell r="CZ319">
            <v>-40403819.380000003</v>
          </cell>
          <cell r="DA319">
            <v>-40856445.719999999</v>
          </cell>
          <cell r="DB319">
            <v>-41150998.969999999</v>
          </cell>
          <cell r="DC319">
            <v>-41529383.490000002</v>
          </cell>
          <cell r="DD319">
            <v>-42567115.759999998</v>
          </cell>
          <cell r="DE319">
            <v>-43030884.149999999</v>
          </cell>
          <cell r="DF319">
            <v>-43560396.280000001</v>
          </cell>
          <cell r="DG319">
            <v>-44104281.509999998</v>
          </cell>
          <cell r="DH319">
            <v>-44304961.149999999</v>
          </cell>
        </row>
        <row r="320">
          <cell r="A320" t="str">
            <v>2820610</v>
          </cell>
          <cell r="B320" t="str">
            <v>2820610</v>
          </cell>
          <cell r="C320" t="str">
            <v>DIT Oth Prop FAS109</v>
          </cell>
          <cell r="AO320">
            <v>0</v>
          </cell>
          <cell r="AP320">
            <v>0</v>
          </cell>
          <cell r="AQ320">
            <v>0</v>
          </cell>
          <cell r="AR320">
            <v>0</v>
          </cell>
          <cell r="AS320">
            <v>0</v>
          </cell>
          <cell r="AT320">
            <v>0</v>
          </cell>
          <cell r="AU320">
            <v>0</v>
          </cell>
          <cell r="AV320">
            <v>0</v>
          </cell>
          <cell r="AW320">
            <v>0</v>
          </cell>
          <cell r="AX320">
            <v>0</v>
          </cell>
          <cell r="AY320">
            <v>0</v>
          </cell>
          <cell r="AZ320">
            <v>66603643.789999999</v>
          </cell>
          <cell r="BA320">
            <v>66438207.350000001</v>
          </cell>
          <cell r="BB320">
            <v>66273184.460000001</v>
          </cell>
          <cell r="BC320">
            <v>66314413.969999999</v>
          </cell>
          <cell r="BD320">
            <v>66218004.109999999</v>
          </cell>
          <cell r="BE320">
            <v>66464333.859999999</v>
          </cell>
          <cell r="BF320">
            <v>66436471.899999999</v>
          </cell>
          <cell r="BG320">
            <v>66408609.890000001</v>
          </cell>
          <cell r="BH320">
            <v>66390267.490000002</v>
          </cell>
          <cell r="BI320">
            <v>66363595.409999996</v>
          </cell>
          <cell r="BJ320">
            <v>66336923.359999999</v>
          </cell>
          <cell r="BK320">
            <v>67729780.390000001</v>
          </cell>
          <cell r="BL320">
            <v>67703108.329999998</v>
          </cell>
          <cell r="BM320">
            <v>67717479.090000004</v>
          </cell>
          <cell r="BN320">
            <v>67766999.730000004</v>
          </cell>
          <cell r="BO320">
            <v>67799612.310000002</v>
          </cell>
          <cell r="BP320">
            <v>67830891.189999998</v>
          </cell>
          <cell r="BQ320">
            <v>67862836.870000005</v>
          </cell>
          <cell r="BR320">
            <v>67894782.579999998</v>
          </cell>
          <cell r="BS320">
            <v>67926728.25</v>
          </cell>
          <cell r="BT320">
            <v>67957026.379999995</v>
          </cell>
          <cell r="BU320">
            <v>67030268.359999999</v>
          </cell>
          <cell r="BV320">
            <v>67048168.899999999</v>
          </cell>
          <cell r="BW320">
            <v>67063963.649999999</v>
          </cell>
          <cell r="BX320">
            <v>67414055.829999998</v>
          </cell>
          <cell r="BY320">
            <v>67402787.359999999</v>
          </cell>
          <cell r="BZ320">
            <v>67376760.959999993</v>
          </cell>
          <cell r="CA320">
            <v>67220743.090000004</v>
          </cell>
          <cell r="CB320">
            <v>67184385.180000007</v>
          </cell>
          <cell r="CC320">
            <v>67136565.090000004</v>
          </cell>
          <cell r="CD320">
            <v>67146695.810000002</v>
          </cell>
          <cell r="CE320">
            <v>67083821.729999997</v>
          </cell>
          <cell r="CF320">
            <v>66978922.25</v>
          </cell>
          <cell r="CG320">
            <v>66957690.899999999</v>
          </cell>
          <cell r="CH320">
            <v>68769455.629999995</v>
          </cell>
          <cell r="CI320">
            <v>68745377.370000005</v>
          </cell>
          <cell r="CJ320">
            <v>68688893.790000007</v>
          </cell>
          <cell r="CK320">
            <v>68629664.010000005</v>
          </cell>
          <cell r="CL320">
            <v>68518748.469999999</v>
          </cell>
          <cell r="CM320">
            <v>68304064.670000002</v>
          </cell>
          <cell r="CN320">
            <v>68294490.719999999</v>
          </cell>
          <cell r="CO320">
            <v>68257468.159999996</v>
          </cell>
          <cell r="CP320">
            <v>68069118.400000006</v>
          </cell>
          <cell r="CQ320">
            <v>68024936.659999996</v>
          </cell>
          <cell r="CR320">
            <v>67972978.989999995</v>
          </cell>
          <cell r="CS320">
            <v>67715514.319999993</v>
          </cell>
          <cell r="CT320">
            <v>67610790.930000007</v>
          </cell>
          <cell r="CU320">
            <v>67919529.030000001</v>
          </cell>
          <cell r="CV320">
            <v>64288813.350000001</v>
          </cell>
          <cell r="CW320">
            <v>64289912.810000002</v>
          </cell>
          <cell r="CX320">
            <v>64287004.009999998</v>
          </cell>
          <cell r="CY320">
            <v>64041400.700000003</v>
          </cell>
          <cell r="CZ320">
            <v>64024495.509999998</v>
          </cell>
          <cell r="DA320">
            <v>64001266.109999999</v>
          </cell>
          <cell r="DB320">
            <v>63832631.869999997</v>
          </cell>
          <cell r="DC320">
            <v>63790246.770000003</v>
          </cell>
          <cell r="DD320">
            <v>63850950.5</v>
          </cell>
          <cell r="DE320">
            <v>63812918.649999999</v>
          </cell>
          <cell r="DF320">
            <v>63825000.039999999</v>
          </cell>
          <cell r="DG320">
            <v>63817375.32</v>
          </cell>
          <cell r="DH320">
            <v>63683070.530000001</v>
          </cell>
        </row>
        <row r="321">
          <cell r="A321" t="str">
            <v>2830300</v>
          </cell>
          <cell r="B321" t="str">
            <v>2830300</v>
          </cell>
          <cell r="C321" t="str">
            <v>DIT Liab-Federal</v>
          </cell>
          <cell r="D321">
            <v>-7598250</v>
          </cell>
          <cell r="E321">
            <v>-7368565.4000000004</v>
          </cell>
          <cell r="F321">
            <v>-6597921.8300000001</v>
          </cell>
          <cell r="G321">
            <v>-6608417.6900000004</v>
          </cell>
          <cell r="H321">
            <v>-6634895.46</v>
          </cell>
          <cell r="I321">
            <v>-6120355.3200000003</v>
          </cell>
          <cell r="J321">
            <v>-6107511.8200000003</v>
          </cell>
          <cell r="K321">
            <v>-6058184.1799999997</v>
          </cell>
          <cell r="L321">
            <v>-6008574.1699999999</v>
          </cell>
          <cell r="M321">
            <v>-7098441.0800000001</v>
          </cell>
          <cell r="N321">
            <v>-7160734.5499999998</v>
          </cell>
          <cell r="O321">
            <v>-8219791.2000000002</v>
          </cell>
          <cell r="P321">
            <v>-8387745.9299999997</v>
          </cell>
          <cell r="Q321">
            <v>-8125154.9000000004</v>
          </cell>
          <cell r="R321">
            <v>-8285972.5999999996</v>
          </cell>
          <cell r="S321">
            <v>-8066823.9800000004</v>
          </cell>
          <cell r="T321">
            <v>-8159385.6200000001</v>
          </cell>
          <cell r="U321">
            <v>-8108756.7400000002</v>
          </cell>
          <cell r="V321">
            <v>-7695572.29</v>
          </cell>
          <cell r="W321">
            <v>-7732556.4699999997</v>
          </cell>
          <cell r="X321">
            <v>-7961328.7000000002</v>
          </cell>
          <cell r="Y321">
            <v>-7693371.71</v>
          </cell>
          <cell r="Z321">
            <v>-8462527.9100000001</v>
          </cell>
          <cell r="AA321">
            <v>-9175806.3000000007</v>
          </cell>
          <cell r="AB321">
            <v>-10312232.27</v>
          </cell>
          <cell r="AC321">
            <v>-9950417.7400000002</v>
          </cell>
          <cell r="AD321">
            <v>-8646949.5999999996</v>
          </cell>
          <cell r="AE321">
            <v>-8617419.4600000009</v>
          </cell>
          <cell r="AF321">
            <v>-8580565.8000000007</v>
          </cell>
          <cell r="AG321">
            <v>-8586991.3100000005</v>
          </cell>
          <cell r="AH321">
            <v>-8292606.9100000001</v>
          </cell>
          <cell r="AI321">
            <v>-8267190.3700000001</v>
          </cell>
          <cell r="AJ321">
            <v>-8253263.8899999997</v>
          </cell>
          <cell r="AK321">
            <v>-8088926.4900000002</v>
          </cell>
          <cell r="AL321">
            <v>-8127587.4699999997</v>
          </cell>
          <cell r="AM321">
            <v>-8107987.4900000002</v>
          </cell>
          <cell r="AN321">
            <v>-8084675.5999999996</v>
          </cell>
          <cell r="AO321">
            <v>-8082692.6299999999</v>
          </cell>
          <cell r="AP321">
            <v>-8042208.0499999998</v>
          </cell>
          <cell r="AQ321">
            <v>-8079996.1200000001</v>
          </cell>
          <cell r="AR321">
            <v>-8079350.8899999997</v>
          </cell>
          <cell r="AS321">
            <v>-8084586.5700000003</v>
          </cell>
          <cell r="AT321">
            <v>-8061125.0099999998</v>
          </cell>
          <cell r="AU321">
            <v>-8059910.1600000001</v>
          </cell>
          <cell r="AV321">
            <v>-8083237.0099999998</v>
          </cell>
          <cell r="AW321">
            <v>-8049029.96</v>
          </cell>
          <cell r="AX321">
            <v>-8872246.0199999996</v>
          </cell>
          <cell r="AY321">
            <v>-9272056.0199999996</v>
          </cell>
          <cell r="AZ321">
            <v>-9866169.7699999996</v>
          </cell>
          <cell r="BA321">
            <v>-9318516.9299999997</v>
          </cell>
          <cell r="BB321">
            <v>-8967194.8000000007</v>
          </cell>
          <cell r="BC321">
            <v>-8729085.1500000004</v>
          </cell>
          <cell r="BD321">
            <v>-8475904.8100000005</v>
          </cell>
          <cell r="BE321">
            <v>-8376431.1299999999</v>
          </cell>
          <cell r="BF321">
            <v>-8209153.2699999996</v>
          </cell>
          <cell r="BG321">
            <v>-8045429.6500000004</v>
          </cell>
          <cell r="BH321">
            <v>-7999460.54</v>
          </cell>
          <cell r="BI321">
            <v>-9189275.7699999996</v>
          </cell>
          <cell r="BJ321">
            <v>-9258815.3599999994</v>
          </cell>
          <cell r="BK321">
            <v>-9092737.8399999999</v>
          </cell>
          <cell r="BL321">
            <v>-9598032.25</v>
          </cell>
          <cell r="BM321">
            <v>-9231843.3200000003</v>
          </cell>
          <cell r="BN321">
            <v>-9012518.6699999999</v>
          </cell>
          <cell r="BO321">
            <v>-9094590.6899999995</v>
          </cell>
          <cell r="BP321">
            <v>-9091064.4100000001</v>
          </cell>
          <cell r="BQ321">
            <v>-9097480.8900000006</v>
          </cell>
          <cell r="BR321">
            <v>-9113215.2400000002</v>
          </cell>
          <cell r="BS321">
            <v>-9122357.5800000001</v>
          </cell>
          <cell r="BT321">
            <v>-9151554.5</v>
          </cell>
          <cell r="BU321">
            <v>-9175849.1400000006</v>
          </cell>
          <cell r="BV321">
            <v>-9240099.9000000004</v>
          </cell>
          <cell r="BW321">
            <v>-9250870.4700000007</v>
          </cell>
          <cell r="BX321">
            <v>-9390729.25</v>
          </cell>
          <cell r="BY321">
            <v>-9424642.9600000009</v>
          </cell>
          <cell r="BZ321">
            <v>-9432042.6400000006</v>
          </cell>
          <cell r="CA321">
            <v>-9243575.3499999996</v>
          </cell>
          <cell r="CB321">
            <v>-9258149.4900000002</v>
          </cell>
          <cell r="CC321">
            <v>-9276982.4399999995</v>
          </cell>
          <cell r="CD321">
            <v>-9336603.25</v>
          </cell>
          <cell r="CE321">
            <v>-9340878.3699999992</v>
          </cell>
          <cell r="CF321">
            <v>-9675292.75</v>
          </cell>
          <cell r="CG321">
            <v>-9781277.0099999998</v>
          </cell>
          <cell r="CH321">
            <v>-9561163.1099999994</v>
          </cell>
          <cell r="CI321">
            <v>-9571528.4299999997</v>
          </cell>
          <cell r="CJ321">
            <v>-9816614.6999999993</v>
          </cell>
          <cell r="CK321">
            <v>-9857527.9199999999</v>
          </cell>
          <cell r="CL321">
            <v>-9896208.6899999995</v>
          </cell>
          <cell r="CM321">
            <v>-9888442.9800000004</v>
          </cell>
          <cell r="CN321">
            <v>-9914566.2100000009</v>
          </cell>
          <cell r="CO321">
            <v>-9954538.7100000009</v>
          </cell>
          <cell r="CP321">
            <v>-9987465.1899999995</v>
          </cell>
          <cell r="CQ321">
            <v>-10130848.93</v>
          </cell>
          <cell r="CR321">
            <v>-10145797.689999999</v>
          </cell>
          <cell r="CS321">
            <v>-9901202.7300000004</v>
          </cell>
          <cell r="CT321">
            <v>-10967088.34</v>
          </cell>
          <cell r="CU321">
            <v>-12545326.9</v>
          </cell>
          <cell r="CV321">
            <v>-12303000.25</v>
          </cell>
          <cell r="CW321">
            <v>-11370304.4</v>
          </cell>
          <cell r="CX321">
            <v>-10247559.82</v>
          </cell>
          <cell r="CY321">
            <v>-10176882.939999999</v>
          </cell>
          <cell r="CZ321">
            <v>-9601724.1899999995</v>
          </cell>
          <cell r="DA321">
            <v>-9520267.3900000006</v>
          </cell>
          <cell r="DB321">
            <v>-9881495.3900000006</v>
          </cell>
          <cell r="DC321">
            <v>-9842980.4600000009</v>
          </cell>
          <cell r="DD321">
            <v>-9814147.4299999997</v>
          </cell>
          <cell r="DE321">
            <v>-9934218.9199999999</v>
          </cell>
          <cell r="DF321">
            <v>-9988541.3399999999</v>
          </cell>
          <cell r="DG321">
            <v>-9958790.5199999996</v>
          </cell>
          <cell r="DH321">
            <v>-10676633.550000001</v>
          </cell>
        </row>
        <row r="322">
          <cell r="A322" t="str">
            <v>2830330</v>
          </cell>
          <cell r="B322" t="str">
            <v>2830330</v>
          </cell>
          <cell r="C322" t="str">
            <v>DIT FAS158 Fed</v>
          </cell>
          <cell r="D322">
            <v>-5715079.0599999996</v>
          </cell>
          <cell r="E322">
            <v>-5715079.0599999996</v>
          </cell>
          <cell r="F322">
            <v>-5715079.0599999996</v>
          </cell>
          <cell r="G322">
            <v>-5589363.6399999997</v>
          </cell>
          <cell r="H322">
            <v>-5589363.6399999997</v>
          </cell>
          <cell r="I322">
            <v>-5589363.6399999997</v>
          </cell>
          <cell r="J322">
            <v>-5459970.9199999999</v>
          </cell>
          <cell r="K322">
            <v>-5459970.9199999999</v>
          </cell>
          <cell r="L322">
            <v>-5459970.9199999999</v>
          </cell>
          <cell r="M322">
            <v>-5391773.9100000001</v>
          </cell>
          <cell r="N322">
            <v>-5391773.9100000001</v>
          </cell>
          <cell r="O322">
            <v>-5391773.9100000001</v>
          </cell>
          <cell r="P322">
            <v>-6394086.6500000004</v>
          </cell>
          <cell r="Q322">
            <v>-6394086.6500000004</v>
          </cell>
          <cell r="R322">
            <v>-6394086.6500000004</v>
          </cell>
          <cell r="S322">
            <v>-6514031.8099999996</v>
          </cell>
          <cell r="T322">
            <v>-6514031.8099999996</v>
          </cell>
          <cell r="U322">
            <v>-6514031.8099999996</v>
          </cell>
          <cell r="V322">
            <v>-6120175.3700000001</v>
          </cell>
          <cell r="W322">
            <v>-6120175.3700000001</v>
          </cell>
          <cell r="X322">
            <v>-6018792.9000000004</v>
          </cell>
          <cell r="Y322">
            <v>-5881836.9299999997</v>
          </cell>
          <cell r="Z322">
            <v>-5881836.9299999997</v>
          </cell>
          <cell r="AA322">
            <v>-5881836.9299999997</v>
          </cell>
          <cell r="AB322">
            <v>-8305232.25</v>
          </cell>
          <cell r="AC322">
            <v>-8305232.25</v>
          </cell>
          <cell r="AD322">
            <v>-8305232.25</v>
          </cell>
          <cell r="AE322">
            <v>-8188206.9500000002</v>
          </cell>
          <cell r="AF322">
            <v>-8188206.9500000002</v>
          </cell>
          <cell r="AG322">
            <v>-8191274.6600000001</v>
          </cell>
          <cell r="AH322">
            <v>-8035212.9100000001</v>
          </cell>
          <cell r="AI322">
            <v>-8035212.9100000001</v>
          </cell>
          <cell r="AJ322">
            <v>-8035212.9100000001</v>
          </cell>
          <cell r="AK322">
            <v>-10827023.060000001</v>
          </cell>
          <cell r="AL322">
            <v>-10827023.060000001</v>
          </cell>
          <cell r="AM322">
            <v>-10827023.060000001</v>
          </cell>
          <cell r="AN322">
            <v>-9370067.3300000001</v>
          </cell>
          <cell r="AO322">
            <v>-9370067.3300000001</v>
          </cell>
          <cell r="AP322">
            <v>-9370067.3300000001</v>
          </cell>
          <cell r="AQ322">
            <v>-9229979.1500000004</v>
          </cell>
          <cell r="AR322">
            <v>-9229979.1500000004</v>
          </cell>
          <cell r="AS322">
            <v>-9229979.1500000004</v>
          </cell>
          <cell r="AT322">
            <v>-9483106.1099999994</v>
          </cell>
          <cell r="AU322">
            <v>-9483106.1099999994</v>
          </cell>
          <cell r="AV322">
            <v>-9483106.1099999994</v>
          </cell>
          <cell r="AW322">
            <v>-9331117.5399999991</v>
          </cell>
          <cell r="AX322">
            <v>-9331117.5399999991</v>
          </cell>
          <cell r="AY322">
            <v>-9331117.5399999991</v>
          </cell>
          <cell r="AZ322">
            <v>-8964453.3800000008</v>
          </cell>
          <cell r="BA322">
            <v>-8964453.3800000008</v>
          </cell>
          <cell r="BB322">
            <v>-8964453.3800000008</v>
          </cell>
          <cell r="BC322">
            <v>-8868570.4700000007</v>
          </cell>
          <cell r="BD322">
            <v>-8868570.4700000007</v>
          </cell>
          <cell r="BE322">
            <v>-8868570.4700000007</v>
          </cell>
          <cell r="BF322">
            <v>-8761820.6600000001</v>
          </cell>
          <cell r="BG322">
            <v>-8761820.6600000001</v>
          </cell>
          <cell r="BH322">
            <v>-8761820.6600000001</v>
          </cell>
          <cell r="BI322">
            <v>-8665127.0800000001</v>
          </cell>
          <cell r="BJ322">
            <v>-8665127.0800000001</v>
          </cell>
          <cell r="BK322">
            <v>-8665127.0800000001</v>
          </cell>
          <cell r="BL322">
            <v>-9847866.0700000003</v>
          </cell>
          <cell r="BM322">
            <v>-9847866.0700000003</v>
          </cell>
          <cell r="BN322">
            <v>-9847866.0700000003</v>
          </cell>
          <cell r="BO322">
            <v>-9769162.5999999996</v>
          </cell>
          <cell r="BP322">
            <v>-9769162.5999999996</v>
          </cell>
          <cell r="BQ322">
            <v>-9769162.5999999996</v>
          </cell>
          <cell r="BR322">
            <v>-9682850.7300000004</v>
          </cell>
          <cell r="BS322">
            <v>-9682850.7300000004</v>
          </cell>
          <cell r="BT322">
            <v>-9682850.7300000004</v>
          </cell>
          <cell r="BU322">
            <v>-9600342.9700000007</v>
          </cell>
          <cell r="BV322">
            <v>-9600342.9700000007</v>
          </cell>
          <cell r="BW322">
            <v>-9600342.9700000007</v>
          </cell>
          <cell r="BX322">
            <v>-9643018.0399999991</v>
          </cell>
          <cell r="BY322">
            <v>-9643018.0399999991</v>
          </cell>
          <cell r="BZ322">
            <v>-9643018.0399999991</v>
          </cell>
          <cell r="CA322">
            <v>-9539837.5299999993</v>
          </cell>
          <cell r="CB322">
            <v>-9539837.5299999993</v>
          </cell>
          <cell r="CC322">
            <v>-9539837.5299999993</v>
          </cell>
          <cell r="CD322">
            <v>-9430925.1999999993</v>
          </cell>
          <cell r="CE322">
            <v>-9430925.1999999993</v>
          </cell>
          <cell r="CF322">
            <v>-9430925.1999999993</v>
          </cell>
          <cell r="CG322">
            <v>-9324878.6799999997</v>
          </cell>
          <cell r="CH322">
            <v>-9324878.6799999997</v>
          </cell>
          <cell r="CI322">
            <v>-9324878.6799999997</v>
          </cell>
          <cell r="CJ322">
            <v>-10561199.359999999</v>
          </cell>
          <cell r="CK322">
            <v>-10561199.359999999</v>
          </cell>
          <cell r="CL322">
            <v>-10561199.359999999</v>
          </cell>
          <cell r="CM322">
            <v>-10423095.82</v>
          </cell>
          <cell r="CN322">
            <v>-10423095.82</v>
          </cell>
          <cell r="CO322">
            <v>-10423095.82</v>
          </cell>
          <cell r="CP322">
            <v>-10284992.279999999</v>
          </cell>
          <cell r="CQ322">
            <v>-10284992.279999999</v>
          </cell>
          <cell r="CR322">
            <v>-10284992.279999999</v>
          </cell>
          <cell r="CS322">
            <v>-10070721.060000001</v>
          </cell>
          <cell r="CT322">
            <v>-10070721.060000001</v>
          </cell>
          <cell r="CU322">
            <v>-10070721.060000001</v>
          </cell>
          <cell r="CV322">
            <v>-8799943.1199999992</v>
          </cell>
          <cell r="CW322">
            <v>-8799943.1199999992</v>
          </cell>
          <cell r="CX322">
            <v>-8799943.1199999992</v>
          </cell>
          <cell r="CY322">
            <v>-8689937.5199999996</v>
          </cell>
          <cell r="CZ322">
            <v>-8689937.5199999996</v>
          </cell>
          <cell r="DA322">
            <v>-8689937.5199999996</v>
          </cell>
          <cell r="DB322">
            <v>-8351004.7800000003</v>
          </cell>
          <cell r="DC322">
            <v>-8351004.7800000003</v>
          </cell>
          <cell r="DD322">
            <v>-8351004.7800000003</v>
          </cell>
          <cell r="DE322">
            <v>-8239987.8700000001</v>
          </cell>
          <cell r="DF322">
            <v>-8239987.8700000001</v>
          </cell>
          <cell r="DG322">
            <v>-8239987.8700000001</v>
          </cell>
          <cell r="DH322">
            <v>-9743462.5299999993</v>
          </cell>
        </row>
        <row r="323">
          <cell r="A323" t="str">
            <v>2830331</v>
          </cell>
          <cell r="B323" t="str">
            <v>2830331</v>
          </cell>
          <cell r="C323" t="str">
            <v>DIT FAS158 MedD Fed</v>
          </cell>
          <cell r="D323">
            <v>-31991</v>
          </cell>
          <cell r="E323">
            <v>-31991</v>
          </cell>
          <cell r="F323">
            <v>-31991</v>
          </cell>
          <cell r="G323">
            <v>-31991</v>
          </cell>
          <cell r="H323">
            <v>-31991</v>
          </cell>
          <cell r="I323">
            <v>-31991</v>
          </cell>
          <cell r="J323">
            <v>-31991</v>
          </cell>
          <cell r="K323">
            <v>-31991</v>
          </cell>
          <cell r="L323">
            <v>-31991</v>
          </cell>
          <cell r="M323">
            <v>-31991</v>
          </cell>
          <cell r="N323">
            <v>-31991</v>
          </cell>
          <cell r="O323">
            <v>-31991</v>
          </cell>
          <cell r="P323">
            <v>-31991</v>
          </cell>
          <cell r="Q323">
            <v>-31991</v>
          </cell>
          <cell r="R323">
            <v>-31991</v>
          </cell>
          <cell r="S323">
            <v>-31991</v>
          </cell>
          <cell r="T323">
            <v>-31991</v>
          </cell>
          <cell r="U323">
            <v>-31991</v>
          </cell>
          <cell r="V323">
            <v>-31991</v>
          </cell>
          <cell r="W323">
            <v>-31991</v>
          </cell>
          <cell r="X323">
            <v>-31991</v>
          </cell>
          <cell r="Y323">
            <v>-31991</v>
          </cell>
          <cell r="Z323">
            <v>-31991</v>
          </cell>
          <cell r="AA323">
            <v>-31991</v>
          </cell>
          <cell r="AB323">
            <v>-31991</v>
          </cell>
          <cell r="AC323">
            <v>-31991</v>
          </cell>
          <cell r="AD323">
            <v>-31991</v>
          </cell>
          <cell r="AE323">
            <v>-31991</v>
          </cell>
          <cell r="AF323">
            <v>-31991</v>
          </cell>
          <cell r="AG323">
            <v>-31991</v>
          </cell>
          <cell r="AH323">
            <v>-31991</v>
          </cell>
          <cell r="AI323">
            <v>-31991</v>
          </cell>
          <cell r="AJ323">
            <v>-31991</v>
          </cell>
          <cell r="AK323">
            <v>-31991</v>
          </cell>
          <cell r="AL323">
            <v>-31991</v>
          </cell>
          <cell r="AM323">
            <v>-31991</v>
          </cell>
          <cell r="AN323">
            <v>-31991</v>
          </cell>
          <cell r="AO323">
            <v>-31991</v>
          </cell>
          <cell r="AP323">
            <v>-31991</v>
          </cell>
          <cell r="AQ323">
            <v>-31991</v>
          </cell>
          <cell r="AR323">
            <v>-31991</v>
          </cell>
          <cell r="AS323">
            <v>-31991</v>
          </cell>
          <cell r="AT323">
            <v>-31991</v>
          </cell>
          <cell r="AU323">
            <v>-31991</v>
          </cell>
          <cell r="AV323">
            <v>-31991</v>
          </cell>
          <cell r="AW323">
            <v>-31991</v>
          </cell>
          <cell r="AX323">
            <v>-31991</v>
          </cell>
          <cell r="AY323">
            <v>-31991</v>
          </cell>
          <cell r="AZ323">
            <v>-31991</v>
          </cell>
          <cell r="BA323">
            <v>-31991</v>
          </cell>
          <cell r="BB323">
            <v>-31991</v>
          </cell>
          <cell r="BC323">
            <v>-31991</v>
          </cell>
          <cell r="BD323">
            <v>-31991</v>
          </cell>
          <cell r="BE323">
            <v>-31991</v>
          </cell>
          <cell r="BF323">
            <v>-31991</v>
          </cell>
          <cell r="BG323">
            <v>-31991</v>
          </cell>
          <cell r="BH323">
            <v>-31991</v>
          </cell>
          <cell r="BI323">
            <v>-31991</v>
          </cell>
          <cell r="BJ323">
            <v>-31991</v>
          </cell>
          <cell r="BK323">
            <v>-31991</v>
          </cell>
          <cell r="BL323">
            <v>-31991</v>
          </cell>
          <cell r="BM323">
            <v>-31991</v>
          </cell>
          <cell r="BN323">
            <v>-31991</v>
          </cell>
          <cell r="BO323">
            <v>-31991</v>
          </cell>
          <cell r="BP323">
            <v>-31991</v>
          </cell>
          <cell r="BQ323">
            <v>-31991</v>
          </cell>
          <cell r="BR323">
            <v>-31991</v>
          </cell>
          <cell r="BS323">
            <v>-31991</v>
          </cell>
          <cell r="BT323">
            <v>-31991</v>
          </cell>
          <cell r="BU323">
            <v>-31991</v>
          </cell>
          <cell r="BV323">
            <v>-31991</v>
          </cell>
          <cell r="BW323">
            <v>-31991</v>
          </cell>
          <cell r="BX323">
            <v>-31991</v>
          </cell>
          <cell r="BY323">
            <v>-31991</v>
          </cell>
          <cell r="BZ323">
            <v>-31991</v>
          </cell>
          <cell r="CA323">
            <v>-31991</v>
          </cell>
          <cell r="CB323">
            <v>-31991</v>
          </cell>
          <cell r="CC323">
            <v>-31991</v>
          </cell>
          <cell r="CD323">
            <v>-31991</v>
          </cell>
          <cell r="CE323">
            <v>-31991</v>
          </cell>
          <cell r="CF323">
            <v>-31991</v>
          </cell>
          <cell r="CG323">
            <v>-31991</v>
          </cell>
          <cell r="CH323">
            <v>-31991</v>
          </cell>
          <cell r="CI323">
            <v>-31991</v>
          </cell>
          <cell r="CJ323">
            <v>-31991</v>
          </cell>
          <cell r="CK323">
            <v>-31991</v>
          </cell>
          <cell r="CL323">
            <v>-31991</v>
          </cell>
          <cell r="CM323">
            <v>-31991</v>
          </cell>
          <cell r="CN323">
            <v>-31991</v>
          </cell>
          <cell r="CO323">
            <v>-31991</v>
          </cell>
          <cell r="CP323">
            <v>-31991</v>
          </cell>
          <cell r="CQ323">
            <v>-31991</v>
          </cell>
          <cell r="CR323">
            <v>-31991</v>
          </cell>
          <cell r="CS323">
            <v>-31991</v>
          </cell>
          <cell r="CT323">
            <v>-31991</v>
          </cell>
          <cell r="CU323">
            <v>-31991</v>
          </cell>
          <cell r="CV323">
            <v>-31991</v>
          </cell>
          <cell r="CW323">
            <v>-31991</v>
          </cell>
          <cell r="CX323">
            <v>-31991</v>
          </cell>
          <cell r="CY323">
            <v>-31991</v>
          </cell>
          <cell r="CZ323">
            <v>-31991</v>
          </cell>
          <cell r="DA323">
            <v>-31991</v>
          </cell>
          <cell r="DB323">
            <v>-31991</v>
          </cell>
          <cell r="DC323">
            <v>-31991</v>
          </cell>
          <cell r="DD323">
            <v>-31991</v>
          </cell>
          <cell r="DE323">
            <v>-31991</v>
          </cell>
          <cell r="DF323">
            <v>-31991</v>
          </cell>
          <cell r="DG323">
            <v>-31991</v>
          </cell>
          <cell r="DH323">
            <v>-31991</v>
          </cell>
        </row>
        <row r="324">
          <cell r="A324" t="str">
            <v>2830340</v>
          </cell>
          <cell r="B324" t="str">
            <v>2830340</v>
          </cell>
          <cell r="C324" t="str">
            <v>DIT FAS133 Fed</v>
          </cell>
          <cell r="D324">
            <v>-387252.06</v>
          </cell>
          <cell r="E324">
            <v>-1184508.3999999999</v>
          </cell>
          <cell r="F324">
            <v>-827106.56</v>
          </cell>
          <cell r="G324">
            <v>-503909.24</v>
          </cell>
          <cell r="H324">
            <v>-1023135.04</v>
          </cell>
          <cell r="I324">
            <v>-419490.27</v>
          </cell>
          <cell r="J324">
            <v>-286229.44</v>
          </cell>
          <cell r="K324">
            <v>-1074482.76</v>
          </cell>
          <cell r="L324">
            <v>-506303.87</v>
          </cell>
          <cell r="M324">
            <v>-535103.92000000004</v>
          </cell>
          <cell r="N324">
            <v>-1210181.22</v>
          </cell>
          <cell r="O324">
            <v>-894056.98</v>
          </cell>
          <cell r="P324">
            <v>-2971950.86</v>
          </cell>
          <cell r="Q324">
            <v>-2998230.6</v>
          </cell>
          <cell r="R324">
            <v>-2456701.89</v>
          </cell>
          <cell r="S324">
            <v>-2397791.65</v>
          </cell>
          <cell r="T324">
            <v>-2081246.07</v>
          </cell>
          <cell r="U324">
            <v>-2024242</v>
          </cell>
          <cell r="V324">
            <v>-1718145.41</v>
          </cell>
          <cell r="W324">
            <v>-1726000.72</v>
          </cell>
          <cell r="X324">
            <v>-1835551.73</v>
          </cell>
          <cell r="Y324">
            <v>-2094429.76</v>
          </cell>
          <cell r="Z324">
            <v>-2660564.62</v>
          </cell>
          <cell r="AA324">
            <v>-2667675.7400000002</v>
          </cell>
          <cell r="AB324">
            <v>-2098924.66</v>
          </cell>
          <cell r="AC324">
            <v>-1615930.43</v>
          </cell>
          <cell r="AD324">
            <v>-1796318.17</v>
          </cell>
          <cell r="AE324">
            <v>-1142853.74</v>
          </cell>
          <cell r="AF324">
            <v>-670785.84</v>
          </cell>
          <cell r="AG324">
            <v>-584534.52</v>
          </cell>
          <cell r="AH324">
            <v>-232265.92</v>
          </cell>
          <cell r="AI324">
            <v>-227132.68</v>
          </cell>
          <cell r="AJ324">
            <v>-173660.33</v>
          </cell>
          <cell r="AK324">
            <v>-172836.76</v>
          </cell>
          <cell r="AL324">
            <v>-185855.08</v>
          </cell>
          <cell r="AM324">
            <v>-201403.64</v>
          </cell>
          <cell r="AN324">
            <v>-657941.17000000004</v>
          </cell>
          <cell r="AO324">
            <v>-195622.13</v>
          </cell>
          <cell r="AP324">
            <v>-139252.41</v>
          </cell>
          <cell r="AQ324">
            <v>-161113.32999999999</v>
          </cell>
          <cell r="AR324">
            <v>-178223.02</v>
          </cell>
          <cell r="AS324">
            <v>-57366.97</v>
          </cell>
          <cell r="AT324">
            <v>-36566.1</v>
          </cell>
          <cell r="AU324">
            <v>-49108.14</v>
          </cell>
          <cell r="AV324">
            <v>-35018.199999999997</v>
          </cell>
          <cell r="AW324">
            <v>-29428.52</v>
          </cell>
          <cell r="AX324">
            <v>-47305.56</v>
          </cell>
          <cell r="AY324">
            <v>-22419.93</v>
          </cell>
          <cell r="AZ324">
            <v>-299108.84000000003</v>
          </cell>
          <cell r="BA324">
            <v>-278987.99</v>
          </cell>
          <cell r="BB324">
            <v>-285626.15000000002</v>
          </cell>
          <cell r="BC324">
            <v>-269654.89</v>
          </cell>
          <cell r="BD324">
            <v>-268679.51</v>
          </cell>
          <cell r="BE324">
            <v>-267149.46000000002</v>
          </cell>
          <cell r="BF324">
            <v>-266274.3</v>
          </cell>
          <cell r="BG324">
            <v>-265502.32</v>
          </cell>
          <cell r="BH324">
            <v>-263871.07</v>
          </cell>
          <cell r="BI324">
            <v>-265168.93</v>
          </cell>
          <cell r="BJ324">
            <v>-266083.78000000003</v>
          </cell>
          <cell r="BK324">
            <v>-263176.49</v>
          </cell>
          <cell r="BL324">
            <v>-263176.49</v>
          </cell>
          <cell r="BM324">
            <v>-263176.49</v>
          </cell>
          <cell r="BN324">
            <v>-263176.49</v>
          </cell>
          <cell r="BO324">
            <v>-263176.49</v>
          </cell>
          <cell r="BP324">
            <v>-263176.49</v>
          </cell>
          <cell r="BQ324">
            <v>-263176.49</v>
          </cell>
          <cell r="BR324">
            <v>-263176.49</v>
          </cell>
          <cell r="BS324">
            <v>-263176.49</v>
          </cell>
          <cell r="BT324">
            <v>-263176.49</v>
          </cell>
          <cell r="BU324">
            <v>-263176.49</v>
          </cell>
          <cell r="BV324">
            <v>-263176.49</v>
          </cell>
          <cell r="BW324">
            <v>-263176.49</v>
          </cell>
          <cell r="BX324">
            <v>-263176.49</v>
          </cell>
          <cell r="BY324">
            <v>-263176.49</v>
          </cell>
          <cell r="BZ324">
            <v>-263176.49</v>
          </cell>
          <cell r="CA324">
            <v>-263176.49</v>
          </cell>
          <cell r="CB324">
            <v>-263176.49</v>
          </cell>
          <cell r="CC324">
            <v>-263176.49</v>
          </cell>
          <cell r="CD324">
            <v>-263176.49</v>
          </cell>
          <cell r="CE324">
            <v>-263176.49</v>
          </cell>
          <cell r="CF324">
            <v>-263176.49</v>
          </cell>
          <cell r="CG324">
            <v>-263176.49</v>
          </cell>
          <cell r="CH324">
            <v>-263176.49</v>
          </cell>
          <cell r="CI324">
            <v>-263176.49</v>
          </cell>
          <cell r="CJ324">
            <v>-263176.49</v>
          </cell>
          <cell r="CK324">
            <v>-263176.49</v>
          </cell>
          <cell r="CL324">
            <v>-263176.49</v>
          </cell>
          <cell r="CM324">
            <v>-263176.49</v>
          </cell>
          <cell r="CN324">
            <v>-263176.49</v>
          </cell>
          <cell r="CO324">
            <v>-263176.49</v>
          </cell>
          <cell r="CP324">
            <v>-263176.49</v>
          </cell>
          <cell r="CQ324">
            <v>-263176.49</v>
          </cell>
          <cell r="CR324">
            <v>-263176.49</v>
          </cell>
          <cell r="CS324">
            <v>-263176.49</v>
          </cell>
          <cell r="CT324">
            <v>-263176.49</v>
          </cell>
          <cell r="CU324">
            <v>-263176.49</v>
          </cell>
          <cell r="CV324">
            <v>-263176.49</v>
          </cell>
          <cell r="CW324">
            <v>-263176.49</v>
          </cell>
          <cell r="CX324">
            <v>-263176.49</v>
          </cell>
          <cell r="CY324">
            <v>-263176.49</v>
          </cell>
          <cell r="CZ324">
            <v>-263176.49</v>
          </cell>
          <cell r="DA324">
            <v>-263176.49</v>
          </cell>
          <cell r="DB324">
            <v>-263176.49</v>
          </cell>
          <cell r="DC324">
            <v>-263176.49</v>
          </cell>
          <cell r="DD324">
            <v>-263176.49</v>
          </cell>
          <cell r="DE324">
            <v>-263176.49</v>
          </cell>
          <cell r="DF324">
            <v>-263176.49</v>
          </cell>
          <cell r="DG324">
            <v>-263176.49</v>
          </cell>
          <cell r="DH324">
            <v>-263176.49</v>
          </cell>
        </row>
        <row r="325">
          <cell r="A325" t="str">
            <v>2830400</v>
          </cell>
          <cell r="B325" t="str">
            <v>2830400</v>
          </cell>
          <cell r="C325" t="str">
            <v>DIT Liab-State</v>
          </cell>
          <cell r="D325">
            <v>-1263502.78</v>
          </cell>
          <cell r="E325">
            <v>-1225308.8400000001</v>
          </cell>
          <cell r="F325">
            <v>-1097159.49</v>
          </cell>
          <cell r="G325">
            <v>-1098904.83</v>
          </cell>
          <cell r="H325">
            <v>-1103307.79</v>
          </cell>
          <cell r="I325">
            <v>-1017745.56</v>
          </cell>
          <cell r="J325">
            <v>-1015609.83</v>
          </cell>
          <cell r="K325">
            <v>-1007407.2</v>
          </cell>
          <cell r="L325">
            <v>-999157.62</v>
          </cell>
          <cell r="M325">
            <v>-1180390.2</v>
          </cell>
          <cell r="N325">
            <v>-1190748.9099999999</v>
          </cell>
          <cell r="O325">
            <v>-1366858.1</v>
          </cell>
          <cell r="P325">
            <v>-1394787.08</v>
          </cell>
          <cell r="Q325">
            <v>-1351121.14</v>
          </cell>
          <cell r="R325">
            <v>-1377863.32</v>
          </cell>
          <cell r="S325">
            <v>-1341421.3700000001</v>
          </cell>
          <cell r="T325">
            <v>-1356813.32</v>
          </cell>
          <cell r="U325">
            <v>-1348394.31</v>
          </cell>
          <cell r="V325">
            <v>-1279686.3999999999</v>
          </cell>
          <cell r="W325">
            <v>-1285836.44</v>
          </cell>
          <cell r="X325">
            <v>-1278105.48</v>
          </cell>
          <cell r="Y325">
            <v>-1233547.24</v>
          </cell>
          <cell r="Z325">
            <v>-1361449.27</v>
          </cell>
          <cell r="AA325">
            <v>-1480059.42</v>
          </cell>
          <cell r="AB325">
            <v>-1669034.27</v>
          </cell>
          <cell r="AC325">
            <v>-1608868.58</v>
          </cell>
          <cell r="AD325">
            <v>-1392116.51</v>
          </cell>
          <cell r="AE325">
            <v>-1387205.98</v>
          </cell>
          <cell r="AF325">
            <v>-1381077.63</v>
          </cell>
          <cell r="AG325">
            <v>-1382146.12</v>
          </cell>
          <cell r="AH325">
            <v>-1378966.53</v>
          </cell>
          <cell r="AI325">
            <v>-1374740.04</v>
          </cell>
          <cell r="AJ325">
            <v>-1372424.22</v>
          </cell>
          <cell r="AK325">
            <v>-1345096.76</v>
          </cell>
          <cell r="AL325">
            <v>-1351525.65</v>
          </cell>
          <cell r="AM325">
            <v>-1348266.39</v>
          </cell>
          <cell r="AN325">
            <v>-1344389.89</v>
          </cell>
          <cell r="AO325">
            <v>-1344060.14</v>
          </cell>
          <cell r="AP325">
            <v>-1337328.01</v>
          </cell>
          <cell r="AQ325">
            <v>-1343611.74</v>
          </cell>
          <cell r="AR325">
            <v>-1343504.45</v>
          </cell>
          <cell r="AS325">
            <v>-1344375.08</v>
          </cell>
          <cell r="AT325">
            <v>-1340473.69</v>
          </cell>
          <cell r="AU325">
            <v>-1340271.67</v>
          </cell>
          <cell r="AV325">
            <v>-1344150.67</v>
          </cell>
          <cell r="AW325">
            <v>-1338462.42</v>
          </cell>
          <cell r="AX325">
            <v>-1475353.99</v>
          </cell>
          <cell r="AY325">
            <v>-1541837.87</v>
          </cell>
          <cell r="AZ325">
            <v>-1640632.28</v>
          </cell>
          <cell r="BA325">
            <v>-1488851.44</v>
          </cell>
          <cell r="BB325">
            <v>-1391483.26</v>
          </cell>
          <cell r="BC325">
            <v>-1325491.6599999999</v>
          </cell>
          <cell r="BD325">
            <v>-1255323.28</v>
          </cell>
          <cell r="BE325">
            <v>-1227754.3500000001</v>
          </cell>
          <cell r="BF325">
            <v>-1181393.6499999999</v>
          </cell>
          <cell r="BG325">
            <v>-1136017.98</v>
          </cell>
          <cell r="BH325">
            <v>-1123277.74</v>
          </cell>
          <cell r="BI325">
            <v>-1453032.53</v>
          </cell>
          <cell r="BJ325">
            <v>-1472305.28</v>
          </cell>
          <cell r="BK325">
            <v>-1443478.24</v>
          </cell>
          <cell r="BL325">
            <v>-1583519.52</v>
          </cell>
          <cell r="BM325">
            <v>-1482031.03</v>
          </cell>
          <cell r="BN325">
            <v>-1421245.66</v>
          </cell>
          <cell r="BO325">
            <v>-1443991.75</v>
          </cell>
          <cell r="BP325">
            <v>-1443014.46</v>
          </cell>
          <cell r="BQ325">
            <v>-1444792.76</v>
          </cell>
          <cell r="BR325">
            <v>-1449153.51</v>
          </cell>
          <cell r="BS325">
            <v>-1451687.29</v>
          </cell>
          <cell r="BT325">
            <v>-1459779.16</v>
          </cell>
          <cell r="BU325">
            <v>-1489714.24</v>
          </cell>
          <cell r="BV325">
            <v>-1503990.19</v>
          </cell>
          <cell r="BW325">
            <v>-1506383.31</v>
          </cell>
          <cell r="BX325">
            <v>-1544319.94</v>
          </cell>
          <cell r="BY325">
            <v>-1551855.26</v>
          </cell>
          <cell r="BZ325">
            <v>-1553499.4</v>
          </cell>
          <cell r="CA325">
            <v>-1539670.37</v>
          </cell>
          <cell r="CB325">
            <v>-1542908.62</v>
          </cell>
          <cell r="CC325">
            <v>-1547093.13</v>
          </cell>
          <cell r="CD325">
            <v>-1545374.55</v>
          </cell>
          <cell r="CE325">
            <v>-1546324.43</v>
          </cell>
          <cell r="CF325">
            <v>-1620628.31</v>
          </cell>
          <cell r="CG325">
            <v>-1629633.05</v>
          </cell>
          <cell r="CH325">
            <v>-1580725.73</v>
          </cell>
          <cell r="CI325">
            <v>-1583028.81</v>
          </cell>
          <cell r="CJ325">
            <v>-1638974.89</v>
          </cell>
          <cell r="CK325">
            <v>-1648065.44</v>
          </cell>
          <cell r="CL325">
            <v>-1656659.96</v>
          </cell>
          <cell r="CM325">
            <v>-1656919.9</v>
          </cell>
          <cell r="CN325">
            <v>-1661426.97</v>
          </cell>
          <cell r="CO325">
            <v>-1669118.69</v>
          </cell>
          <cell r="CP325">
            <v>-1688640.73</v>
          </cell>
          <cell r="CQ325">
            <v>-1724796.47</v>
          </cell>
          <cell r="CR325">
            <v>-1728426.52</v>
          </cell>
          <cell r="CS325">
            <v>-1662292.73</v>
          </cell>
          <cell r="CT325">
            <v>-1848291.89</v>
          </cell>
          <cell r="CU325">
            <v>-2123697.63</v>
          </cell>
          <cell r="CV325">
            <v>-2074684.03</v>
          </cell>
          <cell r="CW325">
            <v>-1816189.33</v>
          </cell>
          <cell r="CX325">
            <v>-1505023.03</v>
          </cell>
          <cell r="CY325">
            <v>-1548078.98</v>
          </cell>
          <cell r="CZ325">
            <v>-1388674.93</v>
          </cell>
          <cell r="DA325">
            <v>-1366099.35</v>
          </cell>
          <cell r="DB325">
            <v>-1432376.92</v>
          </cell>
          <cell r="DC325">
            <v>-1421702.6</v>
          </cell>
          <cell r="DD325">
            <v>-1413711.57</v>
          </cell>
          <cell r="DE325">
            <v>-1448496.92</v>
          </cell>
          <cell r="DF325">
            <v>-1463552.26</v>
          </cell>
          <cell r="DG325">
            <v>-1455306.88</v>
          </cell>
          <cell r="DH325">
            <v>-1619568.8</v>
          </cell>
        </row>
        <row r="326">
          <cell r="A326" t="str">
            <v>2830430</v>
          </cell>
          <cell r="B326" t="str">
            <v>2830430</v>
          </cell>
          <cell r="C326" t="str">
            <v>DIT FAS158 State</v>
          </cell>
          <cell r="D326">
            <v>-950350.38</v>
          </cell>
          <cell r="E326">
            <v>-950350.38</v>
          </cell>
          <cell r="F326">
            <v>-950350.38</v>
          </cell>
          <cell r="G326">
            <v>-929445.33</v>
          </cell>
          <cell r="H326">
            <v>-929445.33</v>
          </cell>
          <cell r="I326">
            <v>-929445.33</v>
          </cell>
          <cell r="J326">
            <v>-907928.77</v>
          </cell>
          <cell r="K326">
            <v>-907928.77</v>
          </cell>
          <cell r="L326">
            <v>-907928.77</v>
          </cell>
          <cell r="M326">
            <v>-896588.37</v>
          </cell>
          <cell r="N326">
            <v>-896588.37</v>
          </cell>
          <cell r="O326">
            <v>-896588.37</v>
          </cell>
          <cell r="P326">
            <v>-1063261.7</v>
          </cell>
          <cell r="Q326">
            <v>-1063261.7</v>
          </cell>
          <cell r="R326">
            <v>-1063261.7</v>
          </cell>
          <cell r="S326">
            <v>-1083207.22</v>
          </cell>
          <cell r="T326">
            <v>-1083207.22</v>
          </cell>
          <cell r="U326">
            <v>-1083207.22</v>
          </cell>
          <cell r="V326">
            <v>-1017713.34</v>
          </cell>
          <cell r="W326">
            <v>-1017713.34</v>
          </cell>
          <cell r="X326">
            <v>-1000854.58</v>
          </cell>
          <cell r="Y326">
            <v>-978080.34</v>
          </cell>
          <cell r="Z326">
            <v>-978080.34</v>
          </cell>
          <cell r="AA326">
            <v>-978080.34</v>
          </cell>
          <cell r="AB326">
            <v>-1381063.69</v>
          </cell>
          <cell r="AC326">
            <v>-1381063.69</v>
          </cell>
          <cell r="AD326">
            <v>-1381063.69</v>
          </cell>
          <cell r="AE326">
            <v>-1361603.7</v>
          </cell>
          <cell r="AF326">
            <v>-1361603.7</v>
          </cell>
          <cell r="AG326">
            <v>-1362113.83</v>
          </cell>
          <cell r="AH326">
            <v>-1336162.52</v>
          </cell>
          <cell r="AI326">
            <v>-1336162.52</v>
          </cell>
          <cell r="AJ326">
            <v>-1336162.52</v>
          </cell>
          <cell r="AK326">
            <v>-1800409.1</v>
          </cell>
          <cell r="AL326">
            <v>-1800409.1</v>
          </cell>
          <cell r="AM326">
            <v>-1800409.1</v>
          </cell>
          <cell r="AN326">
            <v>-1558133.78</v>
          </cell>
          <cell r="AO326">
            <v>-1558133.78</v>
          </cell>
          <cell r="AP326">
            <v>-1558133.78</v>
          </cell>
          <cell r="AQ326">
            <v>-1534838.69</v>
          </cell>
          <cell r="AR326">
            <v>-1534838.69</v>
          </cell>
          <cell r="AS326">
            <v>-1534838.69</v>
          </cell>
          <cell r="AT326">
            <v>-1576930.85</v>
          </cell>
          <cell r="AU326">
            <v>-1576930.85</v>
          </cell>
          <cell r="AV326">
            <v>-1576930.85</v>
          </cell>
          <cell r="AW326">
            <v>-1551656.86</v>
          </cell>
          <cell r="AX326">
            <v>-1551656.86</v>
          </cell>
          <cell r="AY326">
            <v>-1551656.86</v>
          </cell>
          <cell r="AZ326">
            <v>-1445718.72</v>
          </cell>
          <cell r="BA326">
            <v>-1445718.72</v>
          </cell>
          <cell r="BB326">
            <v>-1445718.72</v>
          </cell>
          <cell r="BC326">
            <v>-1419144.98</v>
          </cell>
          <cell r="BD326">
            <v>-1419144.98</v>
          </cell>
          <cell r="BE326">
            <v>-1419144.98</v>
          </cell>
          <cell r="BF326">
            <v>-1389559.47</v>
          </cell>
          <cell r="BG326">
            <v>-1389559.47</v>
          </cell>
          <cell r="BH326">
            <v>-1389559.47</v>
          </cell>
          <cell r="BI326">
            <v>-1362761.05</v>
          </cell>
          <cell r="BJ326">
            <v>-1362761.05</v>
          </cell>
          <cell r="BK326">
            <v>-1362761.05</v>
          </cell>
          <cell r="BL326">
            <v>-1690554.69</v>
          </cell>
          <cell r="BM326">
            <v>-1690554.69</v>
          </cell>
          <cell r="BN326">
            <v>-1690554.69</v>
          </cell>
          <cell r="BO326">
            <v>-1668742.19</v>
          </cell>
          <cell r="BP326">
            <v>-1668742.19</v>
          </cell>
          <cell r="BQ326">
            <v>-1668742.19</v>
          </cell>
          <cell r="BR326">
            <v>-1644821.03</v>
          </cell>
          <cell r="BS326">
            <v>-1644821.03</v>
          </cell>
          <cell r="BT326">
            <v>-1644821.03</v>
          </cell>
          <cell r="BU326">
            <v>-1621954.17</v>
          </cell>
          <cell r="BV326">
            <v>-1621954.17</v>
          </cell>
          <cell r="BW326">
            <v>-1621954.17</v>
          </cell>
          <cell r="BX326">
            <v>-1633781.48</v>
          </cell>
          <cell r="BY326">
            <v>-1633781.48</v>
          </cell>
          <cell r="BZ326">
            <v>-1633781.48</v>
          </cell>
          <cell r="CA326">
            <v>-1605185.21</v>
          </cell>
          <cell r="CB326">
            <v>-1605185.21</v>
          </cell>
          <cell r="CC326">
            <v>-1605185.21</v>
          </cell>
          <cell r="CD326">
            <v>-1575000.39</v>
          </cell>
          <cell r="CE326">
            <v>-1575000.39</v>
          </cell>
          <cell r="CF326">
            <v>-1575000.39</v>
          </cell>
          <cell r="CG326">
            <v>-1545609.82</v>
          </cell>
          <cell r="CH326">
            <v>-1545609.82</v>
          </cell>
          <cell r="CI326">
            <v>-1545609.82</v>
          </cell>
          <cell r="CJ326">
            <v>-1888253.51</v>
          </cell>
          <cell r="CK326">
            <v>-1888253.51</v>
          </cell>
          <cell r="CL326">
            <v>-1888253.51</v>
          </cell>
          <cell r="CM326">
            <v>-1849978.39</v>
          </cell>
          <cell r="CN326">
            <v>-1849978.39</v>
          </cell>
          <cell r="CO326">
            <v>-1849978.39</v>
          </cell>
          <cell r="CP326">
            <v>-1811703.3</v>
          </cell>
          <cell r="CQ326">
            <v>-1811703.3</v>
          </cell>
          <cell r="CR326">
            <v>-1811703.3</v>
          </cell>
          <cell r="CS326">
            <v>-1752318.47</v>
          </cell>
          <cell r="CT326">
            <v>-1752318.47</v>
          </cell>
          <cell r="CU326">
            <v>-1752318.47</v>
          </cell>
          <cell r="CV326">
            <v>-1400125.04</v>
          </cell>
          <cell r="CW326">
            <v>-1400125.04</v>
          </cell>
          <cell r="CX326">
            <v>-1400125.04</v>
          </cell>
          <cell r="CY326">
            <v>-1369637.21</v>
          </cell>
          <cell r="CZ326">
            <v>-1369637.21</v>
          </cell>
          <cell r="DA326">
            <v>-1369637.21</v>
          </cell>
          <cell r="DB326">
            <v>-1275702.7</v>
          </cell>
          <cell r="DC326">
            <v>-1275702.7</v>
          </cell>
          <cell r="DD326">
            <v>-1275702.7</v>
          </cell>
          <cell r="DE326">
            <v>-1244934.6200000001</v>
          </cell>
          <cell r="DF326">
            <v>-1244934.6200000001</v>
          </cell>
          <cell r="DG326">
            <v>-1244934.6200000001</v>
          </cell>
          <cell r="DH326">
            <v>-1661619.46</v>
          </cell>
        </row>
        <row r="327">
          <cell r="A327" t="str">
            <v>2830431</v>
          </cell>
          <cell r="B327" t="str">
            <v>2830431</v>
          </cell>
          <cell r="C327" t="str">
            <v>DIT FAS158 MedD St</v>
          </cell>
          <cell r="D327">
            <v>-5320</v>
          </cell>
          <cell r="E327">
            <v>-5320</v>
          </cell>
          <cell r="F327">
            <v>-5320</v>
          </cell>
          <cell r="G327">
            <v>-5320</v>
          </cell>
          <cell r="H327">
            <v>-5320</v>
          </cell>
          <cell r="I327">
            <v>-5320</v>
          </cell>
          <cell r="J327">
            <v>-5320</v>
          </cell>
          <cell r="K327">
            <v>-5320</v>
          </cell>
          <cell r="L327">
            <v>-5320</v>
          </cell>
          <cell r="M327">
            <v>-5320</v>
          </cell>
          <cell r="N327">
            <v>-5320</v>
          </cell>
          <cell r="O327">
            <v>-5320</v>
          </cell>
          <cell r="P327">
            <v>-5320</v>
          </cell>
          <cell r="Q327">
            <v>-5320</v>
          </cell>
          <cell r="R327">
            <v>-5320</v>
          </cell>
          <cell r="S327">
            <v>-5320</v>
          </cell>
          <cell r="T327">
            <v>-5320</v>
          </cell>
          <cell r="U327">
            <v>-5320</v>
          </cell>
          <cell r="V327">
            <v>-5320</v>
          </cell>
          <cell r="W327">
            <v>-5320</v>
          </cell>
          <cell r="X327">
            <v>-5320</v>
          </cell>
          <cell r="Y327">
            <v>-5320</v>
          </cell>
          <cell r="Z327">
            <v>-5320</v>
          </cell>
          <cell r="AA327">
            <v>-5320</v>
          </cell>
          <cell r="AB327">
            <v>-5320</v>
          </cell>
          <cell r="AC327">
            <v>-5320</v>
          </cell>
          <cell r="AD327">
            <v>-5320</v>
          </cell>
          <cell r="AE327">
            <v>-5320</v>
          </cell>
          <cell r="AF327">
            <v>-5320</v>
          </cell>
          <cell r="AG327">
            <v>-5320</v>
          </cell>
          <cell r="AH327">
            <v>-5320</v>
          </cell>
          <cell r="AI327">
            <v>-5320</v>
          </cell>
          <cell r="AJ327">
            <v>-5320</v>
          </cell>
          <cell r="AK327">
            <v>-5320</v>
          </cell>
          <cell r="AL327">
            <v>-5320</v>
          </cell>
          <cell r="AM327">
            <v>-5320</v>
          </cell>
          <cell r="AN327">
            <v>-5320</v>
          </cell>
          <cell r="AO327">
            <v>-5320</v>
          </cell>
          <cell r="AP327">
            <v>-5320</v>
          </cell>
          <cell r="AQ327">
            <v>-5320</v>
          </cell>
          <cell r="AR327">
            <v>-5320</v>
          </cell>
          <cell r="AS327">
            <v>-5320</v>
          </cell>
          <cell r="AT327">
            <v>-5320</v>
          </cell>
          <cell r="AU327">
            <v>-5320</v>
          </cell>
          <cell r="AV327">
            <v>-5320</v>
          </cell>
          <cell r="AW327">
            <v>-5320</v>
          </cell>
          <cell r="AX327">
            <v>-5320</v>
          </cell>
          <cell r="AY327">
            <v>-5320</v>
          </cell>
          <cell r="AZ327">
            <v>-5320</v>
          </cell>
          <cell r="BA327">
            <v>-5320</v>
          </cell>
          <cell r="BB327">
            <v>-5320</v>
          </cell>
          <cell r="BC327">
            <v>-5320</v>
          </cell>
          <cell r="BD327">
            <v>-5320</v>
          </cell>
          <cell r="BE327">
            <v>-5320</v>
          </cell>
          <cell r="BF327">
            <v>-5320</v>
          </cell>
          <cell r="BG327">
            <v>-5320</v>
          </cell>
          <cell r="BH327">
            <v>-5320</v>
          </cell>
          <cell r="BI327">
            <v>-5320</v>
          </cell>
          <cell r="BJ327">
            <v>-5320</v>
          </cell>
          <cell r="BK327">
            <v>-5320</v>
          </cell>
          <cell r="BL327">
            <v>-5320</v>
          </cell>
          <cell r="BM327">
            <v>-5320</v>
          </cell>
          <cell r="BN327">
            <v>-5320</v>
          </cell>
          <cell r="BO327">
            <v>-5320</v>
          </cell>
          <cell r="BP327">
            <v>-5320</v>
          </cell>
          <cell r="BQ327">
            <v>-5320</v>
          </cell>
          <cell r="BR327">
            <v>-5320</v>
          </cell>
          <cell r="BS327">
            <v>-5320</v>
          </cell>
          <cell r="BT327">
            <v>-5320</v>
          </cell>
          <cell r="BU327">
            <v>-5320</v>
          </cell>
          <cell r="BV327">
            <v>-5320</v>
          </cell>
          <cell r="BW327">
            <v>-5320</v>
          </cell>
          <cell r="BX327">
            <v>-5320</v>
          </cell>
          <cell r="BY327">
            <v>-5320</v>
          </cell>
          <cell r="BZ327">
            <v>-5320</v>
          </cell>
          <cell r="CA327">
            <v>-5320</v>
          </cell>
          <cell r="CB327">
            <v>-5320</v>
          </cell>
          <cell r="CC327">
            <v>-5320</v>
          </cell>
          <cell r="CD327">
            <v>-5320</v>
          </cell>
          <cell r="CE327">
            <v>-5320</v>
          </cell>
          <cell r="CF327">
            <v>-5320</v>
          </cell>
          <cell r="CG327">
            <v>-5320</v>
          </cell>
          <cell r="CH327">
            <v>-5320</v>
          </cell>
          <cell r="CI327">
            <v>-5320</v>
          </cell>
          <cell r="CJ327">
            <v>-5320</v>
          </cell>
          <cell r="CK327">
            <v>-5320</v>
          </cell>
          <cell r="CL327">
            <v>-5320</v>
          </cell>
          <cell r="CM327">
            <v>-5320</v>
          </cell>
          <cell r="CN327">
            <v>-5320</v>
          </cell>
          <cell r="CO327">
            <v>-5320</v>
          </cell>
          <cell r="CP327">
            <v>-5320</v>
          </cell>
          <cell r="CQ327">
            <v>-5320</v>
          </cell>
          <cell r="CR327">
            <v>-5320</v>
          </cell>
          <cell r="CS327">
            <v>-5320</v>
          </cell>
          <cell r="CT327">
            <v>-5320</v>
          </cell>
          <cell r="CU327">
            <v>-5320</v>
          </cell>
          <cell r="CV327">
            <v>-5320</v>
          </cell>
          <cell r="CW327">
            <v>-5320</v>
          </cell>
          <cell r="CX327">
            <v>-5320</v>
          </cell>
          <cell r="CY327">
            <v>-5320</v>
          </cell>
          <cell r="CZ327">
            <v>-5320</v>
          </cell>
          <cell r="DA327">
            <v>-5320</v>
          </cell>
          <cell r="DB327">
            <v>-5320</v>
          </cell>
          <cell r="DC327">
            <v>-5320</v>
          </cell>
          <cell r="DD327">
            <v>-5320</v>
          </cell>
          <cell r="DE327">
            <v>-5320</v>
          </cell>
          <cell r="DF327">
            <v>-5320</v>
          </cell>
          <cell r="DG327">
            <v>-5320</v>
          </cell>
          <cell r="DH327">
            <v>-5320</v>
          </cell>
        </row>
        <row r="328">
          <cell r="A328" t="str">
            <v>2830440</v>
          </cell>
          <cell r="B328" t="str">
            <v>2830440</v>
          </cell>
          <cell r="C328" t="str">
            <v>DIT FAS133 State</v>
          </cell>
          <cell r="D328">
            <v>-64395.26</v>
          </cell>
          <cell r="E328">
            <v>-196970.01</v>
          </cell>
          <cell r="F328">
            <v>-137538.10999999999</v>
          </cell>
          <cell r="G328">
            <v>-83794.039999999994</v>
          </cell>
          <cell r="H328">
            <v>-170135.44</v>
          </cell>
          <cell r="I328">
            <v>-69756.11</v>
          </cell>
          <cell r="J328">
            <v>-47596.34</v>
          </cell>
          <cell r="K328">
            <v>-178673.99</v>
          </cell>
          <cell r="L328">
            <v>-84192.24</v>
          </cell>
          <cell r="M328">
            <v>-88981.36</v>
          </cell>
          <cell r="N328">
            <v>-201239.11</v>
          </cell>
          <cell r="O328">
            <v>-148671.21</v>
          </cell>
          <cell r="P328">
            <v>-494201.56</v>
          </cell>
          <cell r="Q328">
            <v>-498571.59</v>
          </cell>
          <cell r="R328">
            <v>-408521.46</v>
          </cell>
          <cell r="S328">
            <v>-398725.36</v>
          </cell>
          <cell r="T328">
            <v>-346087.39</v>
          </cell>
          <cell r="U328">
            <v>-336608.25</v>
          </cell>
          <cell r="V328">
            <v>-285707.84000000003</v>
          </cell>
          <cell r="W328">
            <v>-287014.09000000003</v>
          </cell>
          <cell r="X328">
            <v>-305231.19</v>
          </cell>
          <cell r="Y328">
            <v>-348279.69</v>
          </cell>
          <cell r="Z328">
            <v>-442421.54</v>
          </cell>
          <cell r="AA328">
            <v>-443604.04</v>
          </cell>
          <cell r="AB328">
            <v>-349027.14</v>
          </cell>
          <cell r="AC328">
            <v>-268710.64</v>
          </cell>
          <cell r="AD328">
            <v>-298707.09000000003</v>
          </cell>
          <cell r="AE328">
            <v>-190043.31</v>
          </cell>
          <cell r="AF328">
            <v>-111543.74</v>
          </cell>
          <cell r="AG328">
            <v>-97201.12</v>
          </cell>
          <cell r="AH328">
            <v>-38622.82</v>
          </cell>
          <cell r="AI328">
            <v>-37769.22</v>
          </cell>
          <cell r="AJ328">
            <v>-28877.37</v>
          </cell>
          <cell r="AK328">
            <v>-28740.42</v>
          </cell>
          <cell r="AL328">
            <v>-30905.22</v>
          </cell>
          <cell r="AM328">
            <v>-33490.769999999997</v>
          </cell>
          <cell r="AN328">
            <v>-109407.82</v>
          </cell>
          <cell r="AO328">
            <v>-32529.37</v>
          </cell>
          <cell r="AP328">
            <v>-23155.72</v>
          </cell>
          <cell r="AQ328">
            <v>-26790.94</v>
          </cell>
          <cell r="AR328">
            <v>-29636.09</v>
          </cell>
          <cell r="AS328">
            <v>-9539.09</v>
          </cell>
          <cell r="AT328">
            <v>-6080.14</v>
          </cell>
          <cell r="AU328">
            <v>-8165.74</v>
          </cell>
          <cell r="AV328">
            <v>-5822.74</v>
          </cell>
          <cell r="AW328">
            <v>-4893.24</v>
          </cell>
          <cell r="AX328">
            <v>-7865.99</v>
          </cell>
          <cell r="AY328">
            <v>-3727.79</v>
          </cell>
          <cell r="AZ328">
            <v>-9958.19</v>
          </cell>
          <cell r="BA328">
            <v>-4381.74</v>
          </cell>
          <cell r="BB328">
            <v>-6221.49</v>
          </cell>
          <cell r="BC328">
            <v>-1795.09</v>
          </cell>
          <cell r="BD328">
            <v>-1524.76</v>
          </cell>
          <cell r="BE328">
            <v>-1100.71</v>
          </cell>
          <cell r="BF328">
            <v>-858.16</v>
          </cell>
          <cell r="BG328">
            <v>-644.21</v>
          </cell>
          <cell r="BH328">
            <v>-192.11</v>
          </cell>
          <cell r="BI328">
            <v>-551.80999999999995</v>
          </cell>
          <cell r="BJ328">
            <v>-805.36</v>
          </cell>
          <cell r="BK328">
            <v>0.39</v>
          </cell>
          <cell r="BL328">
            <v>0.39</v>
          </cell>
          <cell r="BM328">
            <v>0.39</v>
          </cell>
          <cell r="BN328">
            <v>0.39</v>
          </cell>
          <cell r="BO328">
            <v>0.39</v>
          </cell>
          <cell r="BP328">
            <v>0.39</v>
          </cell>
          <cell r="BQ328">
            <v>0.39</v>
          </cell>
          <cell r="BR328">
            <v>0.39</v>
          </cell>
          <cell r="BS328">
            <v>0.39</v>
          </cell>
          <cell r="BT328">
            <v>0.39</v>
          </cell>
          <cell r="BU328">
            <v>0.39</v>
          </cell>
          <cell r="BV328">
            <v>0.39</v>
          </cell>
          <cell r="BW328">
            <v>0.39</v>
          </cell>
          <cell r="BX328">
            <v>0.39</v>
          </cell>
          <cell r="BY328">
            <v>0.39</v>
          </cell>
          <cell r="BZ328">
            <v>0.39</v>
          </cell>
          <cell r="CA328">
            <v>0.39</v>
          </cell>
          <cell r="CB328">
            <v>0.39</v>
          </cell>
          <cell r="CC328">
            <v>0.39</v>
          </cell>
          <cell r="CD328">
            <v>0.39</v>
          </cell>
          <cell r="CE328">
            <v>0.39</v>
          </cell>
          <cell r="CF328">
            <v>0.39</v>
          </cell>
          <cell r="CG328">
            <v>0.39</v>
          </cell>
          <cell r="CH328">
            <v>0.39</v>
          </cell>
          <cell r="CI328">
            <v>0.39</v>
          </cell>
          <cell r="CJ328">
            <v>0.39</v>
          </cell>
          <cell r="CK328">
            <v>0.39</v>
          </cell>
          <cell r="CL328">
            <v>0.39</v>
          </cell>
          <cell r="CM328">
            <v>0.39</v>
          </cell>
          <cell r="CN328">
            <v>0.39</v>
          </cell>
          <cell r="CO328">
            <v>0.39</v>
          </cell>
          <cell r="CP328">
            <v>0.39</v>
          </cell>
          <cell r="CQ328">
            <v>0.39</v>
          </cell>
          <cell r="CR328">
            <v>0.39</v>
          </cell>
          <cell r="CS328">
            <v>0.39</v>
          </cell>
          <cell r="CT328">
            <v>0.39</v>
          </cell>
          <cell r="CU328">
            <v>0.39</v>
          </cell>
          <cell r="CV328">
            <v>0.39</v>
          </cell>
          <cell r="CW328">
            <v>0.39</v>
          </cell>
          <cell r="CX328">
            <v>0.39</v>
          </cell>
          <cell r="CY328">
            <v>0.39</v>
          </cell>
          <cell r="CZ328">
            <v>0.39</v>
          </cell>
          <cell r="DA328">
            <v>0.39</v>
          </cell>
          <cell r="DB328">
            <v>0.39</v>
          </cell>
          <cell r="DC328">
            <v>0.39</v>
          </cell>
          <cell r="DD328">
            <v>0.39</v>
          </cell>
          <cell r="DE328">
            <v>0.39</v>
          </cell>
          <cell r="DF328">
            <v>0.39</v>
          </cell>
          <cell r="DG328">
            <v>0.39</v>
          </cell>
          <cell r="DH328">
            <v>0.39</v>
          </cell>
        </row>
        <row r="329">
          <cell r="A329" t="str">
            <v>2830610</v>
          </cell>
          <cell r="B329" t="str">
            <v>2830610</v>
          </cell>
          <cell r="C329" t="str">
            <v>DIT FAS109 Other</v>
          </cell>
          <cell r="AO329">
            <v>0</v>
          </cell>
          <cell r="AP329">
            <v>0</v>
          </cell>
          <cell r="AQ329">
            <v>0</v>
          </cell>
          <cell r="AR329">
            <v>0</v>
          </cell>
          <cell r="AS329">
            <v>0</v>
          </cell>
          <cell r="AT329">
            <v>0</v>
          </cell>
          <cell r="AU329">
            <v>0</v>
          </cell>
          <cell r="AV329">
            <v>0</v>
          </cell>
          <cell r="AW329">
            <v>0</v>
          </cell>
          <cell r="AX329">
            <v>0</v>
          </cell>
          <cell r="AY329">
            <v>0</v>
          </cell>
          <cell r="AZ329">
            <v>22611604.050000001</v>
          </cell>
          <cell r="BA329">
            <v>22555411.48</v>
          </cell>
          <cell r="BB329">
            <v>22499510.5</v>
          </cell>
          <cell r="BC329">
            <v>22513410.670000002</v>
          </cell>
          <cell r="BD329">
            <v>22480684.460000001</v>
          </cell>
          <cell r="BE329">
            <v>22564313.890000001</v>
          </cell>
          <cell r="BF329">
            <v>22554854.940000001</v>
          </cell>
          <cell r="BG329">
            <v>22545395.899999999</v>
          </cell>
          <cell r="BH329">
            <v>22539168.77</v>
          </cell>
          <cell r="BI329">
            <v>22530113.699999999</v>
          </cell>
          <cell r="BJ329">
            <v>22521058.699999999</v>
          </cell>
          <cell r="BK329">
            <v>22993926.73</v>
          </cell>
          <cell r="BL329">
            <v>22984871.68</v>
          </cell>
          <cell r="BM329">
            <v>22989750.489999998</v>
          </cell>
          <cell r="BN329">
            <v>23006562.530000001</v>
          </cell>
          <cell r="BO329">
            <v>23017407.940000001</v>
          </cell>
          <cell r="BP329">
            <v>23028253.329999998</v>
          </cell>
          <cell r="BQ329">
            <v>23039098.77</v>
          </cell>
          <cell r="BR329">
            <v>23049944.170000002</v>
          </cell>
          <cell r="BS329">
            <v>23060789.52</v>
          </cell>
          <cell r="BT329">
            <v>23071075.559999999</v>
          </cell>
          <cell r="BU329">
            <v>22770178.739999998</v>
          </cell>
          <cell r="BV329">
            <v>22776255.84</v>
          </cell>
          <cell r="BW329">
            <v>22781617.969999999</v>
          </cell>
          <cell r="BX329">
            <v>22900328.359999999</v>
          </cell>
          <cell r="BY329">
            <v>22896434.140000001</v>
          </cell>
          <cell r="BZ329">
            <v>22887665.559999999</v>
          </cell>
          <cell r="CA329">
            <v>22835005.579999998</v>
          </cell>
          <cell r="CB329">
            <v>22822459.399999999</v>
          </cell>
          <cell r="CC329">
            <v>22806044.07</v>
          </cell>
          <cell r="CD329">
            <v>22809821.710000001</v>
          </cell>
          <cell r="CE329">
            <v>22788403.359999999</v>
          </cell>
          <cell r="CF329">
            <v>22752625.309999999</v>
          </cell>
          <cell r="CG329">
            <v>22745581</v>
          </cell>
          <cell r="CH329">
            <v>23333203.09</v>
          </cell>
          <cell r="CI329">
            <v>23324881.32</v>
          </cell>
          <cell r="CJ329">
            <v>23305660.690000001</v>
          </cell>
          <cell r="CK329">
            <v>23285754.050000001</v>
          </cell>
          <cell r="CL329">
            <v>23248011.530000001</v>
          </cell>
          <cell r="CM329">
            <v>23176857.739999998</v>
          </cell>
          <cell r="CN329">
            <v>23173356.699999999</v>
          </cell>
          <cell r="CO329">
            <v>23160960.140000001</v>
          </cell>
          <cell r="CP329">
            <v>23099041.129999999</v>
          </cell>
          <cell r="CQ329">
            <v>23083761.77</v>
          </cell>
          <cell r="CR329">
            <v>23066179.890000001</v>
          </cell>
          <cell r="CS329">
            <v>22980610.82</v>
          </cell>
          <cell r="CT329">
            <v>22944886.280000001</v>
          </cell>
          <cell r="CU329">
            <v>23049971.539999999</v>
          </cell>
          <cell r="CV329">
            <v>21862346.489999998</v>
          </cell>
          <cell r="CW329">
            <v>21863042.329999998</v>
          </cell>
          <cell r="CX329">
            <v>21861893.52</v>
          </cell>
          <cell r="CY329">
            <v>21778246.25</v>
          </cell>
          <cell r="CZ329">
            <v>21772985.41</v>
          </cell>
          <cell r="DA329">
            <v>21764606.609999999</v>
          </cell>
          <cell r="DB329">
            <v>21711240.120000001</v>
          </cell>
          <cell r="DC329">
            <v>21696554.989999998</v>
          </cell>
          <cell r="DD329">
            <v>21717527.260000002</v>
          </cell>
          <cell r="DE329">
            <v>21705049.710000001</v>
          </cell>
          <cell r="DF329">
            <v>21708438.199999999</v>
          </cell>
          <cell r="DG329">
            <v>21705982.879999999</v>
          </cell>
          <cell r="DH329">
            <v>21663660.789999999</v>
          </cell>
        </row>
        <row r="331">
          <cell r="AH331">
            <v>960112796.65000021</v>
          </cell>
          <cell r="AI331">
            <v>966844695.15999985</v>
          </cell>
          <cell r="AJ331">
            <v>967683433.84000015</v>
          </cell>
          <cell r="AK331">
            <v>983992949.63999975</v>
          </cell>
          <cell r="AL331">
            <v>993654532.77999949</v>
          </cell>
          <cell r="AM331">
            <v>996694415.33999979</v>
          </cell>
          <cell r="AN331">
            <v>1019762560.6499999</v>
          </cell>
          <cell r="AO331">
            <v>1028205820.95</v>
          </cell>
          <cell r="AP331">
            <v>1036605895.4099998</v>
          </cell>
          <cell r="AQ331">
            <v>1037286041.9800001</v>
          </cell>
          <cell r="AR331">
            <v>1047973195.5999998</v>
          </cell>
          <cell r="AS331">
            <v>1053161039.7799999</v>
          </cell>
          <cell r="AT331">
            <v>1048613874.0800003</v>
          </cell>
          <cell r="AU331">
            <v>1057460529.1500002</v>
          </cell>
          <cell r="AV331">
            <v>1076761555.8799996</v>
          </cell>
          <cell r="AW331">
            <v>1078630857.2999997</v>
          </cell>
          <cell r="AX331">
            <v>1082847591.9999998</v>
          </cell>
          <cell r="AY331">
            <v>1093441044.03</v>
          </cell>
          <cell r="AZ331">
            <v>1110304091.0699997</v>
          </cell>
          <cell r="BA331">
            <v>1125453008.2700005</v>
          </cell>
          <cell r="BB331">
            <v>1118450851.4000003</v>
          </cell>
          <cell r="BC331">
            <v>1116155056.3900001</v>
          </cell>
          <cell r="BD331">
            <v>1119947657.9199998</v>
          </cell>
          <cell r="BE331">
            <v>1127682195.3500004</v>
          </cell>
          <cell r="BF331">
            <v>1134835694.5200002</v>
          </cell>
          <cell r="BG331">
            <v>1142151907.7099998</v>
          </cell>
          <cell r="BH331">
            <v>1149094391.02</v>
          </cell>
          <cell r="BI331">
            <v>1162175175.2500007</v>
          </cell>
          <cell r="BJ331">
            <v>1182288767.4399993</v>
          </cell>
          <cell r="BK331">
            <v>1202725304.1099997</v>
          </cell>
          <cell r="BL331">
            <v>1226063436.0099995</v>
          </cell>
          <cell r="BM331">
            <v>1247240436.2299993</v>
          </cell>
          <cell r="BN331">
            <v>1247808108.2299993</v>
          </cell>
          <cell r="BO331">
            <v>1259003258.8700006</v>
          </cell>
          <cell r="BP331">
            <v>1262871735.4099998</v>
          </cell>
          <cell r="BQ331">
            <v>1275354403.7199991</v>
          </cell>
          <cell r="BR331">
            <v>1286690558.0599999</v>
          </cell>
          <cell r="BS331">
            <v>1300347264.21</v>
          </cell>
          <cell r="BT331">
            <v>1319239804.8100002</v>
          </cell>
          <cell r="BU331">
            <v>1342230484.6000004</v>
          </cell>
          <cell r="BV331">
            <v>1358664856.23</v>
          </cell>
          <cell r="BW331">
            <v>1383623030.9400001</v>
          </cell>
          <cell r="BX331">
            <v>1408247684.1299992</v>
          </cell>
          <cell r="BY331">
            <v>1430100919.7199993</v>
          </cell>
          <cell r="BZ331">
            <v>1442160893.7799993</v>
          </cell>
          <cell r="CA331">
            <v>1453225242.9099991</v>
          </cell>
          <cell r="CB331">
            <v>1471552455.1400001</v>
          </cell>
          <cell r="CC331">
            <v>1494766345.5600007</v>
          </cell>
          <cell r="CD331">
            <v>1516746180.7800002</v>
          </cell>
          <cell r="CE331">
            <v>1537467570.4999995</v>
          </cell>
          <cell r="CF331">
            <v>1576643202.9699996</v>
          </cell>
          <cell r="CG331">
            <v>1605318201.7300005</v>
          </cell>
          <cell r="CH331">
            <v>1631707897.9200001</v>
          </cell>
          <cell r="CI331">
            <v>1666187288.7899997</v>
          </cell>
          <cell r="CJ331">
            <v>1713802281.6099992</v>
          </cell>
          <cell r="CK331">
            <v>1744349619.9999998</v>
          </cell>
          <cell r="CL331">
            <v>1767183758.3699994</v>
          </cell>
          <cell r="CM331">
            <v>1783156794.6599987</v>
          </cell>
          <cell r="CN331">
            <v>1799578255.9400001</v>
          </cell>
          <cell r="CO331">
            <v>1807990937.48</v>
          </cell>
          <cell r="CP331">
            <v>1827442303.2899992</v>
          </cell>
          <cell r="CQ331">
            <v>1853524136.4399991</v>
          </cell>
          <cell r="CR331">
            <v>1871610200.3399994</v>
          </cell>
          <cell r="CS331">
            <v>1894780635.76</v>
          </cell>
          <cell r="CT331">
            <v>1929460870.0899997</v>
          </cell>
          <cell r="CU331">
            <v>1960889789.7199998</v>
          </cell>
          <cell r="CV331">
            <v>1992226698.3999994</v>
          </cell>
          <cell r="CW331">
            <v>2023947138.2199998</v>
          </cell>
          <cell r="CX331">
            <v>2043153600.6899998</v>
          </cell>
          <cell r="CY331">
            <v>2052420927.0399985</v>
          </cell>
          <cell r="CZ331">
            <v>2067951937.9000003</v>
          </cell>
          <cell r="DA331">
            <v>2094493157.5500004</v>
          </cell>
          <cell r="DB331">
            <v>2120545230.2200003</v>
          </cell>
          <cell r="DC331">
            <v>2136862729.3100004</v>
          </cell>
          <cell r="DD331">
            <v>2152934893.730001</v>
          </cell>
          <cell r="DE331">
            <v>2168239079.9400005</v>
          </cell>
          <cell r="DF331">
            <v>2180322911.5699992</v>
          </cell>
          <cell r="DG331">
            <v>2206019839.0700002</v>
          </cell>
          <cell r="DH331">
            <v>2267449529.6000018</v>
          </cell>
        </row>
        <row r="332">
          <cell r="AH332">
            <v>-960112796.64999962</v>
          </cell>
          <cell r="AI332">
            <v>-966844695.15999985</v>
          </cell>
          <cell r="AJ332">
            <v>-967683433.83999991</v>
          </cell>
          <cell r="AK332">
            <v>-983992949.63999999</v>
          </cell>
          <cell r="AL332">
            <v>-993654532.77999997</v>
          </cell>
          <cell r="AM332">
            <v>-996694415.33999968</v>
          </cell>
          <cell r="AN332">
            <v>-1019762560.6500001</v>
          </cell>
          <cell r="AO332">
            <v>-1028205820.9499995</v>
          </cell>
          <cell r="AP332">
            <v>-1036605895.4099997</v>
          </cell>
          <cell r="AQ332">
            <v>-1037286041.98</v>
          </cell>
          <cell r="AR332">
            <v>-1047973195.6</v>
          </cell>
          <cell r="AS332">
            <v>-1053161039.7800002</v>
          </cell>
          <cell r="AT332">
            <v>-1048613874.08</v>
          </cell>
          <cell r="AU332">
            <v>-1057460529.1500005</v>
          </cell>
          <cell r="AV332">
            <v>-1076761555.8800001</v>
          </cell>
          <cell r="AW332">
            <v>-1078630857.3</v>
          </cell>
          <cell r="AX332">
            <v>-1082847591.9999998</v>
          </cell>
          <cell r="AY332">
            <v>-1093441044.0299997</v>
          </cell>
          <cell r="AZ332">
            <v>-1110304091.0699997</v>
          </cell>
          <cell r="BA332">
            <v>-1125453008.2699997</v>
          </cell>
          <cell r="BB332">
            <v>-1118450851.4000003</v>
          </cell>
          <cell r="BC332">
            <v>-1116155056.3899999</v>
          </cell>
          <cell r="BD332">
            <v>-1119947657.9199996</v>
          </cell>
          <cell r="BE332">
            <v>-1127682195.3500004</v>
          </cell>
          <cell r="BF332">
            <v>-1134835694.5199997</v>
          </cell>
          <cell r="BG332">
            <v>-1142151907.7099998</v>
          </cell>
          <cell r="BH332">
            <v>-1149094391.0199995</v>
          </cell>
          <cell r="BI332">
            <v>-1162175175.2499993</v>
          </cell>
          <cell r="BJ332">
            <v>-1182288767.4399993</v>
          </cell>
          <cell r="BK332">
            <v>-1202725304.1099994</v>
          </cell>
          <cell r="BL332">
            <v>-1226063436.0099998</v>
          </cell>
          <cell r="BM332">
            <v>-1247240436.2299998</v>
          </cell>
          <cell r="BN332">
            <v>-1247808108.23</v>
          </cell>
          <cell r="BO332">
            <v>-1259003258.8700001</v>
          </cell>
          <cell r="BP332">
            <v>-1262871735.4099998</v>
          </cell>
          <cell r="BQ332">
            <v>-1275354403.7199998</v>
          </cell>
          <cell r="BR332">
            <v>-1286690558.0599999</v>
          </cell>
          <cell r="BS332">
            <v>-1300347264.2099998</v>
          </cell>
          <cell r="BT332">
            <v>-1319239804.8099999</v>
          </cell>
          <cell r="BU332">
            <v>-1342230484.5999997</v>
          </cell>
          <cell r="BV332">
            <v>-1358664856.23</v>
          </cell>
          <cell r="BW332">
            <v>-1383623030.9399993</v>
          </cell>
          <cell r="BX332">
            <v>-1408247684.1299996</v>
          </cell>
          <cell r="BY332">
            <v>-1430100919.7200003</v>
          </cell>
          <cell r="BZ332">
            <v>-1442160893.7799997</v>
          </cell>
          <cell r="CA332">
            <v>-1453225242.9100013</v>
          </cell>
          <cell r="CB332">
            <v>-1471552455.1400001</v>
          </cell>
          <cell r="CC332">
            <v>-1494766345.5600004</v>
          </cell>
          <cell r="CD332">
            <v>-1516746180.7800012</v>
          </cell>
          <cell r="CE332">
            <v>-1537467570.5000012</v>
          </cell>
          <cell r="CF332">
            <v>-1574439470.970001</v>
          </cell>
          <cell r="CG332">
            <v>-1599775397.73</v>
          </cell>
          <cell r="CH332">
            <v>-1631707897.9200001</v>
          </cell>
          <cell r="CI332">
            <v>-1666187288.79</v>
          </cell>
          <cell r="CJ332">
            <v>-1713802281.6100001</v>
          </cell>
          <cell r="CK332">
            <v>-1744349619.9999998</v>
          </cell>
          <cell r="CL332">
            <v>-1767183758.3700006</v>
          </cell>
          <cell r="CM332">
            <v>-1783156794.6600006</v>
          </cell>
          <cell r="CN332">
            <v>-1799578255.9399998</v>
          </cell>
          <cell r="CO332">
            <v>-1807990937.48</v>
          </cell>
          <cell r="CP332">
            <v>-1827442303.2899997</v>
          </cell>
          <cell r="CQ332">
            <v>-1853524136.4400001</v>
          </cell>
          <cell r="CR332">
            <v>-1871610200.3399994</v>
          </cell>
          <cell r="CS332">
            <v>-1894780635.7599995</v>
          </cell>
          <cell r="CT332">
            <v>-1929460870.0899994</v>
          </cell>
          <cell r="CU332">
            <v>-1960889789.7200007</v>
          </cell>
          <cell r="CV332">
            <v>-1992226698.3999994</v>
          </cell>
          <cell r="CW332">
            <v>-2023947138.22</v>
          </cell>
          <cell r="CX332">
            <v>-2043153600.6900008</v>
          </cell>
          <cell r="CY332">
            <v>-2052420927.0399997</v>
          </cell>
          <cell r="CZ332">
            <v>-2067951937.8999999</v>
          </cell>
          <cell r="DA332">
            <v>-2094493157.55</v>
          </cell>
          <cell r="DB332">
            <v>-2120545230.2199996</v>
          </cell>
          <cell r="DC332">
            <v>-2136862729.3099997</v>
          </cell>
          <cell r="DD332">
            <v>-2152934893.7299991</v>
          </cell>
          <cell r="DE332">
            <v>-2168239079.9399996</v>
          </cell>
          <cell r="DF332">
            <v>-2180322911.5700006</v>
          </cell>
          <cell r="DG332">
            <v>-2206019839.0699992</v>
          </cell>
          <cell r="DH332">
            <v>-2267449529.5999994</v>
          </cell>
        </row>
        <row r="333">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-2.1457672119140625E-6</v>
          </cell>
          <cell r="CB333">
            <v>0</v>
          </cell>
          <cell r="CC333">
            <v>0</v>
          </cell>
          <cell r="CD333">
            <v>0</v>
          </cell>
          <cell r="CE333">
            <v>0</v>
          </cell>
          <cell r="CF333">
            <v>2203731.9999985695</v>
          </cell>
          <cell r="CG333">
            <v>5542804.0000004768</v>
          </cell>
          <cell r="CH333">
            <v>0</v>
          </cell>
          <cell r="CI333">
            <v>0</v>
          </cell>
          <cell r="CJ333">
            <v>0</v>
          </cell>
          <cell r="CK333">
            <v>0</v>
          </cell>
          <cell r="CL333">
            <v>0</v>
          </cell>
          <cell r="CM333">
            <v>-1.9073486328125E-6</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row>
        <row r="334">
          <cell r="A334" t="str">
            <v>FERC 3 Digit</v>
          </cell>
          <cell r="D334" t="str">
            <v>DEC 2013  Cumulative  Balance</v>
          </cell>
          <cell r="E334" t="str">
            <v>JAN 2014  Cumulative  Balance</v>
          </cell>
          <cell r="F334" t="str">
            <v>FEB 2014  Cumulative  Balance</v>
          </cell>
          <cell r="G334" t="str">
            <v>MAR 2014  Cumulative  Balance</v>
          </cell>
          <cell r="H334" t="str">
            <v>APR 2014  Cumulative  Balance</v>
          </cell>
          <cell r="I334" t="str">
            <v>MAY 2014  Cumulative  Balance</v>
          </cell>
          <cell r="J334" t="str">
            <v>JUN 2014  Cumulative  Balance</v>
          </cell>
          <cell r="K334" t="str">
            <v>JUL 2014  Cumulative  Balance</v>
          </cell>
          <cell r="L334" t="str">
            <v>AUG 2014  Cumulative  Balance</v>
          </cell>
          <cell r="M334" t="str">
            <v>SEP 2014  Cumulative  Balance</v>
          </cell>
          <cell r="N334" t="str">
            <v>OCT 2014  Cumulative  Balance</v>
          </cell>
          <cell r="O334" t="str">
            <v>NOV 2014  Cumulative  Balance</v>
          </cell>
          <cell r="P334" t="str">
            <v>DEC 2014  Cumulative  Balance</v>
          </cell>
          <cell r="Q334" t="str">
            <v>JAN 2015  Cumulative  Balance</v>
          </cell>
          <cell r="R334" t="str">
            <v>FEB 2015  Cumulative  Balance</v>
          </cell>
          <cell r="S334" t="str">
            <v>MAR 2015  Cumulative  Balance</v>
          </cell>
          <cell r="T334" t="str">
            <v>APR 2015  Cumulative  Balance</v>
          </cell>
          <cell r="U334" t="str">
            <v>MAY 2015  Cumulative  Balance</v>
          </cell>
          <cell r="V334" t="str">
            <v>JUN 2015  Cumulative  Balance</v>
          </cell>
          <cell r="W334" t="str">
            <v>JUL 2015  Cumulative  Balance</v>
          </cell>
          <cell r="X334" t="str">
            <v>AUG 2015  Cumulative  Balance</v>
          </cell>
          <cell r="Y334" t="str">
            <v>SEP 2015  Cumulative  Balance</v>
          </cell>
          <cell r="Z334" t="str">
            <v>OCT 2015  Cumulative  Balance</v>
          </cell>
          <cell r="AA334" t="str">
            <v>NOV 2015  Cumulative  Balance</v>
          </cell>
          <cell r="AB334" t="str">
            <v>DEC 2015  Cumulative  Balance</v>
          </cell>
          <cell r="AC334" t="str">
            <v>JAN 2016  Cumulative  Balance</v>
          </cell>
          <cell r="AD334" t="str">
            <v>FEB 2016  Cumulative  Balance</v>
          </cell>
          <cell r="AE334" t="str">
            <v>MAR 2016  Cumulative  Balance</v>
          </cell>
          <cell r="AF334" t="str">
            <v>APR 2016  Cumulative  Balance</v>
          </cell>
          <cell r="AG334" t="str">
            <v>MAY 2016  Cumulative  Balance</v>
          </cell>
          <cell r="AH334" t="str">
            <v>JUN 2016  Cumulative  Balance</v>
          </cell>
          <cell r="AI334" t="str">
            <v>JUL 2016  Cumulative  Balance</v>
          </cell>
          <cell r="AJ334" t="str">
            <v>AUG 2016  Cumulative  Balance</v>
          </cell>
          <cell r="AK334" t="str">
            <v>SEP 2016  Cumulative  Balance</v>
          </cell>
          <cell r="AL334" t="str">
            <v>OCT 2016  Cumulative  Balance</v>
          </cell>
          <cell r="AM334" t="str">
            <v>NOV 2016  Cumulative  Balance</v>
          </cell>
          <cell r="AN334" t="str">
            <v>DEC 2016  Cumulative  Balance</v>
          </cell>
          <cell r="AO334" t="str">
            <v>JAN 2017  Cumulative  Balance</v>
          </cell>
          <cell r="AP334" t="str">
            <v>FEB 2017  Cumulative  Balance</v>
          </cell>
          <cell r="AQ334" t="str">
            <v>MAR 2017  Cumulative  Balance</v>
          </cell>
          <cell r="AR334" t="str">
            <v>APR 2017  Cumulative  Balance</v>
          </cell>
          <cell r="AS334" t="str">
            <v>MAY 2017  Cumulative  Balance</v>
          </cell>
          <cell r="AT334" t="str">
            <v>JUN 2017  Cumulative  Balance</v>
          </cell>
          <cell r="AU334" t="str">
            <v>JUL 2017  Cumulative  Balance</v>
          </cell>
          <cell r="AV334" t="str">
            <v>AUG 2017  Cumulative  Balance</v>
          </cell>
          <cell r="AW334" t="str">
            <v>SEP 2017  Cumulative  Balance</v>
          </cell>
          <cell r="AX334" t="str">
            <v>OCT 2017  Cumulative  Balance</v>
          </cell>
          <cell r="AY334" t="str">
            <v>NOV 2017  Cumulative  Balance</v>
          </cell>
          <cell r="AZ334" t="str">
            <v>DEC 2017  Cumulative  Balance</v>
          </cell>
          <cell r="BA334" t="str">
            <v>JAN 2018  Cumulative  Balance</v>
          </cell>
          <cell r="BB334" t="str">
            <v>FEB 2018  Cumulative  Balance</v>
          </cell>
          <cell r="BC334" t="str">
            <v>MAR 2018  Cumulative  Balance</v>
          </cell>
          <cell r="BD334" t="str">
            <v>APR 2018  Cumulative  Balance</v>
          </cell>
          <cell r="BE334" t="str">
            <v>MAY 2018  Cumulative  Balance</v>
          </cell>
          <cell r="BF334" t="str">
            <v>JUN 2018  Cumulative  Balance</v>
          </cell>
          <cell r="BG334" t="str">
            <v>JUL 2018  Cumulative  Balance</v>
          </cell>
          <cell r="BH334" t="str">
            <v>AUG 2018  Cumulative  Balance</v>
          </cell>
          <cell r="BI334" t="str">
            <v>SEP 2018  Cumulative  Balance</v>
          </cell>
          <cell r="BJ334" t="str">
            <v>OCT 2018  Cumulative  Balance</v>
          </cell>
          <cell r="BK334" t="str">
            <v>NOV 2018  Cumulative  Balance</v>
          </cell>
          <cell r="BL334" t="str">
            <v>DEC 2018  Cumulative  Balance</v>
          </cell>
          <cell r="BM334" t="str">
            <v>JAN 2019  Cumulative  Balance</v>
          </cell>
          <cell r="BN334" t="str">
            <v>FEB 2019  Cumulative  Balance</v>
          </cell>
          <cell r="BO334" t="str">
            <v>MAR 2019  Cumulative  Balance</v>
          </cell>
          <cell r="BP334" t="str">
            <v>APR 2019  Cumulative  Balance</v>
          </cell>
          <cell r="BQ334" t="str">
            <v>MAY 2019  Cumulative  Balance</v>
          </cell>
          <cell r="BR334" t="str">
            <v>JUN 2019  Cumulative  Balance</v>
          </cell>
          <cell r="BS334" t="str">
            <v>JUL 2019  Cumulative  Balance</v>
          </cell>
          <cell r="BT334" t="str">
            <v>AUG 2019  Cumulative  Balance</v>
          </cell>
          <cell r="BU334" t="str">
            <v>SEP 2019  Cumulative  Balance</v>
          </cell>
          <cell r="BV334" t="str">
            <v>OCT 2019  Cumulative  Balance</v>
          </cell>
          <cell r="BW334" t="str">
            <v>NOV 2019  Cumulative  Balance</v>
          </cell>
          <cell r="BX334" t="str">
            <v>DEC 2019  Cumulative  Balance</v>
          </cell>
          <cell r="BY334" t="str">
            <v>JAN 2020  Cumulative  Balance</v>
          </cell>
          <cell r="BZ334" t="str">
            <v>FEB 2020  Cumulative  Balance</v>
          </cell>
          <cell r="CA334" t="str">
            <v>MAR 2020  Cumulative  Balance</v>
          </cell>
          <cell r="CB334" t="str">
            <v>APR 2020  Cumulative  Balance</v>
          </cell>
          <cell r="CC334" t="str">
            <v>MAY 2020  Cumulative  Balance</v>
          </cell>
          <cell r="CD334" t="str">
            <v>JUN 2020  Cumulative  Balance</v>
          </cell>
          <cell r="CE334" t="str">
            <v>JUL 2020  Cumulative  Balance</v>
          </cell>
          <cell r="CF334" t="str">
            <v>AUG 2020  Cumulative  Balance</v>
          </cell>
          <cell r="CG334" t="str">
            <v>SEP 2020  Cumulative  Balance</v>
          </cell>
          <cell r="CH334" t="str">
            <v>OCT 2020  Cumulative  Balance</v>
          </cell>
          <cell r="CI334" t="str">
            <v>NOV 2020  Cumulative  Balance</v>
          </cell>
          <cell r="CJ334" t="str">
            <v>DEC 2020  Cumulative  Balance</v>
          </cell>
          <cell r="CK334" t="str">
            <v>JAN 2021  Cumulative  Balance</v>
          </cell>
          <cell r="CL334" t="str">
            <v>FEB 2021  Cumulative  Balance</v>
          </cell>
          <cell r="CM334" t="str">
            <v>MAR 2021  Cumulative  Balance</v>
          </cell>
          <cell r="CN334" t="str">
            <v>APR 2021  Cumulative  Balance</v>
          </cell>
          <cell r="CO334" t="str">
            <v>MAY 2021  Cumulative  Balance</v>
          </cell>
          <cell r="CP334" t="str">
            <v>JUN 2021  Cumulative  Balance</v>
          </cell>
          <cell r="CQ334" t="str">
            <v>JUL 2021  Cumulative  Balance</v>
          </cell>
          <cell r="CR334" t="str">
            <v>AUG 2021  Cumulative  Balance</v>
          </cell>
          <cell r="CS334" t="str">
            <v>SEPT 2021  Cumulative  Balance</v>
          </cell>
          <cell r="CT334" t="str">
            <v>OCT 2021  Cumulative  Balance</v>
          </cell>
          <cell r="CU334" t="str">
            <v>NOV 2021  Cumulative  Balance</v>
          </cell>
          <cell r="CV334" t="str">
            <v>DEC 2021  Cumulative  Balance</v>
          </cell>
          <cell r="CW334" t="str">
            <v>JAN 2022  Cumulative  Balance</v>
          </cell>
          <cell r="CX334" t="str">
            <v>FEB 2022  Cumulative  Balance</v>
          </cell>
          <cell r="CY334" t="str">
            <v>MAR 2022  Cumulative  Balance</v>
          </cell>
          <cell r="CZ334" t="str">
            <v>APR 2022  Cumulative  Balance</v>
          </cell>
          <cell r="DA334" t="str">
            <v>MAY 2022  Cumulative  Balance</v>
          </cell>
          <cell r="DB334" t="str">
            <v>JUN 2022  Cumulative  Balance</v>
          </cell>
          <cell r="DC334" t="str">
            <v>JUL 2022  Cumulative  Balance</v>
          </cell>
          <cell r="DD334" t="str">
            <v>AUG 2022  Cumulative  Balance</v>
          </cell>
          <cell r="DE334" t="str">
            <v>SEPT 2022  Cumulative  Balance</v>
          </cell>
          <cell r="DF334" t="str">
            <v>OCT 2022  Cumulative  Balance</v>
          </cell>
          <cell r="DG334" t="str">
            <v>NOV 2022  Cumulative  Balance</v>
          </cell>
          <cell r="DH334" t="str">
            <v>DEC 2022  Cumulative  Balance</v>
          </cell>
        </row>
        <row r="335">
          <cell r="A335" t="str">
            <v>101</v>
          </cell>
          <cell r="D335">
            <v>1188438144.46</v>
          </cell>
          <cell r="E335">
            <v>1181375109.0899999</v>
          </cell>
          <cell r="F335">
            <v>1183669611.1700001</v>
          </cell>
          <cell r="G335">
            <v>1187818086.28</v>
          </cell>
          <cell r="H335">
            <v>1193444141.6099999</v>
          </cell>
          <cell r="I335">
            <v>1196718822.3299999</v>
          </cell>
          <cell r="J335">
            <v>1205461196.28</v>
          </cell>
          <cell r="K335">
            <v>1217215082.8699999</v>
          </cell>
          <cell r="L335">
            <v>1219768821.8399999</v>
          </cell>
          <cell r="M335">
            <v>1221185968.05</v>
          </cell>
          <cell r="N335">
            <v>1226654487.26</v>
          </cell>
          <cell r="O335">
            <v>1230602459.26</v>
          </cell>
          <cell r="P335">
            <v>1237774817.28</v>
          </cell>
          <cell r="Q335">
            <v>1243453386.9300001</v>
          </cell>
          <cell r="R335">
            <v>1239784853.5699999</v>
          </cell>
          <cell r="S335">
            <v>1247743088.6099999</v>
          </cell>
          <cell r="T335">
            <v>1255789698.6700001</v>
          </cell>
          <cell r="U335">
            <v>1263521357.9300001</v>
          </cell>
          <cell r="V335">
            <v>1273021195.1500001</v>
          </cell>
          <cell r="W335">
            <v>1278370429.4000001</v>
          </cell>
          <cell r="X335">
            <v>1280724126.74</v>
          </cell>
          <cell r="Y335">
            <v>1284361394.1199999</v>
          </cell>
          <cell r="Z335">
            <v>1285704724.3900001</v>
          </cell>
          <cell r="AA335">
            <v>1290505400.77</v>
          </cell>
          <cell r="AB335">
            <v>1306055752.6700001</v>
          </cell>
          <cell r="AC335">
            <v>1307925714.0699999</v>
          </cell>
          <cell r="AD335">
            <v>1312431109.54</v>
          </cell>
          <cell r="AE335">
            <v>1322755935.72</v>
          </cell>
          <cell r="AF335">
            <v>1329266317.1900001</v>
          </cell>
          <cell r="AG335">
            <v>1334332726.99</v>
          </cell>
          <cell r="AH335">
            <v>1337224990.6500001</v>
          </cell>
          <cell r="AI335">
            <v>1347244874.27</v>
          </cell>
          <cell r="AJ335">
            <v>1356728799.3099999</v>
          </cell>
          <cell r="AK335">
            <v>1360597866.1900001</v>
          </cell>
          <cell r="AL335">
            <v>1365895871.6199999</v>
          </cell>
          <cell r="AM335">
            <v>1376010821.8299999</v>
          </cell>
          <cell r="AN335">
            <v>1379384662.24</v>
          </cell>
          <cell r="AO335">
            <v>1380967784.3299999</v>
          </cell>
          <cell r="AP335">
            <v>1387344814.55</v>
          </cell>
          <cell r="AQ335">
            <v>1399295449.5</v>
          </cell>
          <cell r="AR335">
            <v>1399609417.1800001</v>
          </cell>
          <cell r="AS335">
            <v>1402003841.02</v>
          </cell>
          <cell r="AT335">
            <v>1414377121.22</v>
          </cell>
          <cell r="AU335">
            <v>1419403427.1700001</v>
          </cell>
          <cell r="AV335">
            <v>1419263811.6700001</v>
          </cell>
          <cell r="AW335">
            <v>1434909742.95</v>
          </cell>
          <cell r="AX335">
            <v>1443639091.9200001</v>
          </cell>
          <cell r="AY335">
            <v>1445030153.6500001</v>
          </cell>
          <cell r="AZ335">
            <v>1454809795</v>
          </cell>
          <cell r="BA335">
            <v>1456901142.1099999</v>
          </cell>
          <cell r="BB335">
            <v>1485655069.6199999</v>
          </cell>
          <cell r="BC335">
            <v>1498293140.1800001</v>
          </cell>
          <cell r="BD335">
            <v>1505702373.5699999</v>
          </cell>
          <cell r="BE335">
            <v>1508978962.3499999</v>
          </cell>
          <cell r="BF335">
            <v>1521219901.6900001</v>
          </cell>
          <cell r="BG335">
            <v>1523942752.9100001</v>
          </cell>
          <cell r="BH335">
            <v>1541525532.6400001</v>
          </cell>
          <cell r="BI335">
            <v>1550361331.8800001</v>
          </cell>
          <cell r="BJ335">
            <v>1553271404.5599999</v>
          </cell>
          <cell r="BK335">
            <v>1556639342.23</v>
          </cell>
          <cell r="BL335">
            <v>1571168666.03</v>
          </cell>
          <cell r="BM335">
            <v>1574185211.3099999</v>
          </cell>
          <cell r="BN335">
            <v>1578994550.5899999</v>
          </cell>
          <cell r="BO335">
            <v>1592070662.9200001</v>
          </cell>
          <cell r="BP335">
            <v>1601334072.53</v>
          </cell>
          <cell r="BQ335">
            <v>1612685331.8900001</v>
          </cell>
          <cell r="BR335">
            <v>1638034321.6099999</v>
          </cell>
          <cell r="BS335">
            <v>1641548263.23</v>
          </cell>
          <cell r="BT335">
            <v>1645419289.0699999</v>
          </cell>
          <cell r="BU335">
            <v>1659929375.55</v>
          </cell>
          <cell r="BV335">
            <v>1675381568.55</v>
          </cell>
          <cell r="BW335">
            <v>1685840446.9200001</v>
          </cell>
          <cell r="BX335">
            <v>1719277611.5699999</v>
          </cell>
          <cell r="BY335">
            <v>1722370602.3900001</v>
          </cell>
          <cell r="BZ335">
            <v>1717543335.01</v>
          </cell>
          <cell r="CA335">
            <v>1733113857.9100001</v>
          </cell>
          <cell r="CB335">
            <v>1737708178.29</v>
          </cell>
          <cell r="CC335">
            <v>1752095483.46</v>
          </cell>
          <cell r="CD335">
            <v>1770287739.9200001</v>
          </cell>
          <cell r="CE335">
            <v>1775799561.4200001</v>
          </cell>
          <cell r="CF335">
            <v>1777592586.3900001</v>
          </cell>
          <cell r="CG335">
            <v>1800710566.9400001</v>
          </cell>
          <cell r="CH335">
            <v>1803688689.6700001</v>
          </cell>
          <cell r="CI335">
            <v>1805576868.5799999</v>
          </cell>
          <cell r="CJ335">
            <v>1869700333.79</v>
          </cell>
          <cell r="CK335">
            <v>1870076642.52</v>
          </cell>
          <cell r="CL335">
            <v>1884351946.8599999</v>
          </cell>
          <cell r="CM335">
            <v>1890043797.6800001</v>
          </cell>
          <cell r="CN335">
            <v>1901225432.47</v>
          </cell>
          <cell r="CO335">
            <v>1942744871.3299999</v>
          </cell>
          <cell r="CP335">
            <v>1968537429.01</v>
          </cell>
          <cell r="CQ335">
            <v>2043575655.5799999</v>
          </cell>
          <cell r="CR335">
            <v>2044747650.0799999</v>
          </cell>
          <cell r="CS335">
            <v>2110173824.8399999</v>
          </cell>
          <cell r="CT335">
            <v>2124604509.2</v>
          </cell>
          <cell r="CU335">
            <v>2142216450.3199999</v>
          </cell>
          <cell r="CV335">
            <v>2168081826.3699999</v>
          </cell>
          <cell r="CW335">
            <v>2183864854.3600001</v>
          </cell>
          <cell r="CX335">
            <v>2202545716.8400002</v>
          </cell>
          <cell r="CY335">
            <v>2219080125.9499998</v>
          </cell>
          <cell r="CZ335">
            <v>2225116449.6100001</v>
          </cell>
          <cell r="DA335">
            <v>2264292966.6700001</v>
          </cell>
          <cell r="DB335">
            <v>2291322008.2399998</v>
          </cell>
          <cell r="DC335">
            <v>2295822991.9899998</v>
          </cell>
          <cell r="DD335">
            <v>2296939736.1199999</v>
          </cell>
          <cell r="DE335">
            <v>2297763600.9000001</v>
          </cell>
          <cell r="DF335">
            <v>2298134153.9499998</v>
          </cell>
          <cell r="DG335">
            <v>2299277638.8899999</v>
          </cell>
          <cell r="DH335">
            <v>2346274645.8899999</v>
          </cell>
        </row>
        <row r="336">
          <cell r="A336" t="str">
            <v>104</v>
          </cell>
          <cell r="AF336">
            <v>0</v>
          </cell>
          <cell r="AG336">
            <v>0</v>
          </cell>
          <cell r="AH336">
            <v>9286155.6300000008</v>
          </cell>
          <cell r="AI336">
            <v>11734138</v>
          </cell>
          <cell r="AJ336">
            <v>11832383.210000001</v>
          </cell>
          <cell r="AK336">
            <v>12032563.85</v>
          </cell>
          <cell r="AL336">
            <v>12032563.85</v>
          </cell>
          <cell r="AM336">
            <v>12032563.85</v>
          </cell>
          <cell r="AN336">
            <v>12033286.029999999</v>
          </cell>
          <cell r="AO336">
            <v>12033286.029999999</v>
          </cell>
          <cell r="AP336">
            <v>12033286.029999999</v>
          </cell>
          <cell r="AQ336">
            <v>12033286.029999999</v>
          </cell>
          <cell r="AR336">
            <v>12033286.029999999</v>
          </cell>
          <cell r="AS336">
            <v>12033286.029999999</v>
          </cell>
          <cell r="AT336">
            <v>12033286.029999999</v>
          </cell>
          <cell r="AU336">
            <v>12033286.029999999</v>
          </cell>
          <cell r="AV336">
            <v>12033286.029999999</v>
          </cell>
          <cell r="AW336">
            <v>12033286.029999999</v>
          </cell>
          <cell r="AX336">
            <v>12033286.029999999</v>
          </cell>
          <cell r="AY336">
            <v>12033286.029999999</v>
          </cell>
          <cell r="AZ336">
            <v>12033286.029999999</v>
          </cell>
          <cell r="BA336">
            <v>12033286.029999999</v>
          </cell>
          <cell r="BB336">
            <v>12033286.029999999</v>
          </cell>
          <cell r="BC336">
            <v>12033286.029999999</v>
          </cell>
          <cell r="BD336">
            <v>12033286.029999999</v>
          </cell>
          <cell r="BE336">
            <v>12033286.029999999</v>
          </cell>
          <cell r="BF336">
            <v>12033286.029999999</v>
          </cell>
          <cell r="BG336">
            <v>12033286.029999999</v>
          </cell>
          <cell r="BH336">
            <v>12033286.029999999</v>
          </cell>
          <cell r="BI336">
            <v>12033286.029999999</v>
          </cell>
          <cell r="BJ336">
            <v>12033286.029999999</v>
          </cell>
          <cell r="BK336">
            <v>12033286.029999999</v>
          </cell>
          <cell r="BL336">
            <v>12033286.029999999</v>
          </cell>
          <cell r="BM336">
            <v>12033286.029999999</v>
          </cell>
          <cell r="BN336">
            <v>12033286.029999999</v>
          </cell>
          <cell r="BO336">
            <v>12033286.029999999</v>
          </cell>
          <cell r="BP336">
            <v>13128442.310000001</v>
          </cell>
          <cell r="BQ336">
            <v>13128442.310000001</v>
          </cell>
          <cell r="BR336">
            <v>13128442.310000001</v>
          </cell>
          <cell r="BS336">
            <v>13128442.310000001</v>
          </cell>
          <cell r="BT336">
            <v>13128442.310000001</v>
          </cell>
          <cell r="BU336">
            <v>13128442.310000001</v>
          </cell>
          <cell r="BV336">
            <v>13128442.310000001</v>
          </cell>
          <cell r="BW336">
            <v>13128442.310000001</v>
          </cell>
          <cell r="BX336">
            <v>13128442.310000001</v>
          </cell>
          <cell r="BY336">
            <v>13128442.310000001</v>
          </cell>
          <cell r="BZ336">
            <v>13128442.310000001</v>
          </cell>
          <cell r="CA336">
            <v>13128442.310000001</v>
          </cell>
          <cell r="CB336">
            <v>13128442.310000001</v>
          </cell>
          <cell r="CC336">
            <v>13128442.310000001</v>
          </cell>
          <cell r="CD336">
            <v>13128442.310000001</v>
          </cell>
          <cell r="CE336">
            <v>13128442.310000001</v>
          </cell>
          <cell r="CF336">
            <v>13128442.310000001</v>
          </cell>
          <cell r="CG336">
            <v>13128442.310000001</v>
          </cell>
          <cell r="CH336">
            <v>13128442.310000001</v>
          </cell>
          <cell r="CI336">
            <v>13128442.310000001</v>
          </cell>
          <cell r="CJ336">
            <v>13128442.310000001</v>
          </cell>
          <cell r="CK336">
            <v>13128442.310000001</v>
          </cell>
          <cell r="CL336">
            <v>13128442.310000001</v>
          </cell>
          <cell r="CM336">
            <v>13128442.310000001</v>
          </cell>
          <cell r="CN336">
            <v>13128442.310000001</v>
          </cell>
          <cell r="CO336">
            <v>13128442.310000001</v>
          </cell>
          <cell r="CP336">
            <v>13128442.310000001</v>
          </cell>
          <cell r="CQ336">
            <v>13128442.310000001</v>
          </cell>
          <cell r="CR336">
            <v>13128442.310000001</v>
          </cell>
          <cell r="CS336">
            <v>13128442.310000001</v>
          </cell>
          <cell r="CT336">
            <v>13128442.310000001</v>
          </cell>
          <cell r="CU336">
            <v>13128442.310000001</v>
          </cell>
          <cell r="CV336">
            <v>13128442.310000001</v>
          </cell>
          <cell r="CW336">
            <v>13128442.310000001</v>
          </cell>
          <cell r="CX336">
            <v>13128442.310000001</v>
          </cell>
          <cell r="CY336">
            <v>10382214.34</v>
          </cell>
          <cell r="CZ336">
            <v>10382214.34</v>
          </cell>
          <cell r="DA336">
            <v>10382214.34</v>
          </cell>
          <cell r="DB336">
            <v>10382214.34</v>
          </cell>
          <cell r="DC336">
            <v>2527001.42</v>
          </cell>
          <cell r="DD336">
            <v>2527001.42</v>
          </cell>
          <cell r="DE336">
            <v>2527001.42</v>
          </cell>
          <cell r="DF336">
            <v>2527001.42</v>
          </cell>
          <cell r="DG336">
            <v>2527001.42</v>
          </cell>
          <cell r="DH336">
            <v>2527001.42</v>
          </cell>
        </row>
        <row r="337">
          <cell r="A337" t="str">
            <v>105</v>
          </cell>
          <cell r="D337">
            <v>1937574.45</v>
          </cell>
          <cell r="E337">
            <v>1939551.55</v>
          </cell>
          <cell r="F337">
            <v>1939551.55</v>
          </cell>
          <cell r="G337">
            <v>2983016.36</v>
          </cell>
          <cell r="H337">
            <v>2983016.36</v>
          </cell>
          <cell r="I337">
            <v>2983016.36</v>
          </cell>
          <cell r="J337">
            <v>2983016.36</v>
          </cell>
          <cell r="K337">
            <v>2983016.36</v>
          </cell>
          <cell r="L337">
            <v>2983016.36</v>
          </cell>
          <cell r="M337">
            <v>2983016.36</v>
          </cell>
          <cell r="N337">
            <v>2983066.99</v>
          </cell>
          <cell r="O337">
            <v>2983066.99</v>
          </cell>
          <cell r="P337">
            <v>2984633.79</v>
          </cell>
          <cell r="Q337">
            <v>2984633.79</v>
          </cell>
          <cell r="R337">
            <v>2984633.79</v>
          </cell>
          <cell r="S337">
            <v>2984633.79</v>
          </cell>
          <cell r="T337">
            <v>2984633.79</v>
          </cell>
          <cell r="U337">
            <v>2984633.79</v>
          </cell>
          <cell r="V337">
            <v>1939551.55</v>
          </cell>
          <cell r="W337">
            <v>1939551.55</v>
          </cell>
          <cell r="X337">
            <v>1939551.55</v>
          </cell>
          <cell r="Y337">
            <v>1939551.55</v>
          </cell>
          <cell r="Z337">
            <v>1939551.55</v>
          </cell>
          <cell r="AA337">
            <v>1939551.55</v>
          </cell>
          <cell r="AB337">
            <v>1939551.55</v>
          </cell>
          <cell r="AC337">
            <v>1939551.55</v>
          </cell>
          <cell r="AD337">
            <v>1939551.55</v>
          </cell>
          <cell r="AE337">
            <v>1939551.55</v>
          </cell>
          <cell r="AF337">
            <v>1939551.55</v>
          </cell>
          <cell r="AG337">
            <v>1939551.55</v>
          </cell>
          <cell r="AH337">
            <v>1939551.55</v>
          </cell>
          <cell r="AI337">
            <v>1939551.55</v>
          </cell>
          <cell r="AJ337">
            <v>1939551.55</v>
          </cell>
          <cell r="AK337">
            <v>1939551.55</v>
          </cell>
          <cell r="AL337">
            <v>1939551.55</v>
          </cell>
          <cell r="AM337">
            <v>1939551.55</v>
          </cell>
          <cell r="AN337">
            <v>1939551.55</v>
          </cell>
          <cell r="AO337">
            <v>1939551.55</v>
          </cell>
          <cell r="AP337">
            <v>1939551.55</v>
          </cell>
          <cell r="AQ337">
            <v>1939551.55</v>
          </cell>
          <cell r="AR337">
            <v>1939551.55</v>
          </cell>
          <cell r="AS337">
            <v>1939551.55</v>
          </cell>
          <cell r="AT337">
            <v>1939551.55</v>
          </cell>
          <cell r="AU337">
            <v>1939551.55</v>
          </cell>
          <cell r="AV337">
            <v>1939551.55</v>
          </cell>
          <cell r="AW337">
            <v>1939551.55</v>
          </cell>
          <cell r="AX337">
            <v>1939551.55</v>
          </cell>
          <cell r="AY337">
            <v>1939551.55</v>
          </cell>
          <cell r="AZ337">
            <v>1939551.55</v>
          </cell>
          <cell r="BA337">
            <v>1939551.55</v>
          </cell>
          <cell r="BB337">
            <v>1939551.55</v>
          </cell>
          <cell r="BC337">
            <v>1939551.55</v>
          </cell>
          <cell r="BD337">
            <v>1939551.55</v>
          </cell>
          <cell r="BE337">
            <v>1939551.55</v>
          </cell>
          <cell r="BF337">
            <v>1939551.55</v>
          </cell>
          <cell r="BG337">
            <v>1939551.55</v>
          </cell>
          <cell r="BH337">
            <v>1939551.55</v>
          </cell>
          <cell r="BI337">
            <v>1939551.55</v>
          </cell>
          <cell r="BJ337">
            <v>1939551.55</v>
          </cell>
          <cell r="BK337">
            <v>1939551.55</v>
          </cell>
          <cell r="BL337">
            <v>1939551.55</v>
          </cell>
          <cell r="BM337">
            <v>1939551.55</v>
          </cell>
          <cell r="BN337">
            <v>1939551.55</v>
          </cell>
          <cell r="BO337">
            <v>1939551.55</v>
          </cell>
          <cell r="BP337">
            <v>1939551.55</v>
          </cell>
          <cell r="BQ337">
            <v>1939551.55</v>
          </cell>
          <cell r="BR337">
            <v>1939551.55</v>
          </cell>
          <cell r="BS337">
            <v>1939551.55</v>
          </cell>
          <cell r="BT337">
            <v>1939551.55</v>
          </cell>
          <cell r="BU337">
            <v>1939551.55</v>
          </cell>
          <cell r="BV337">
            <v>1939551.55</v>
          </cell>
          <cell r="BW337">
            <v>1939551.55</v>
          </cell>
          <cell r="BX337">
            <v>1939551.55</v>
          </cell>
          <cell r="BY337">
            <v>1939551.55</v>
          </cell>
          <cell r="BZ337">
            <v>1939551.55</v>
          </cell>
          <cell r="CA337">
            <v>1939551.55</v>
          </cell>
          <cell r="CB337">
            <v>1939551.55</v>
          </cell>
          <cell r="CC337">
            <v>1939551.55</v>
          </cell>
          <cell r="CD337">
            <v>1939551.55</v>
          </cell>
          <cell r="CE337">
            <v>1939551.55</v>
          </cell>
          <cell r="CF337">
            <v>1939551.55</v>
          </cell>
          <cell r="CG337">
            <v>1939551.55</v>
          </cell>
          <cell r="CH337">
            <v>1939551.55</v>
          </cell>
          <cell r="CI337">
            <v>1939551.55</v>
          </cell>
          <cell r="CJ337">
            <v>1939551.55</v>
          </cell>
          <cell r="CK337">
            <v>1939551.55</v>
          </cell>
          <cell r="CL337">
            <v>1939551.55</v>
          </cell>
          <cell r="CM337">
            <v>1939551.55</v>
          </cell>
          <cell r="CN337">
            <v>1939551.55</v>
          </cell>
          <cell r="CO337">
            <v>1939551.55</v>
          </cell>
          <cell r="CP337">
            <v>1939551.55</v>
          </cell>
          <cell r="CQ337">
            <v>1939551.55</v>
          </cell>
          <cell r="CR337">
            <v>1939551.55</v>
          </cell>
          <cell r="CS337">
            <v>1939551.55</v>
          </cell>
          <cell r="CT337">
            <v>1939551.55</v>
          </cell>
          <cell r="CU337">
            <v>1939551.55</v>
          </cell>
          <cell r="CV337">
            <v>1939551.55</v>
          </cell>
          <cell r="CW337">
            <v>1939551.55</v>
          </cell>
          <cell r="CX337">
            <v>1939551.55</v>
          </cell>
          <cell r="CY337">
            <v>1939551.55</v>
          </cell>
          <cell r="CZ337">
            <v>1939551.55</v>
          </cell>
          <cell r="DA337">
            <v>1939551.55</v>
          </cell>
          <cell r="DB337">
            <v>1939551.55</v>
          </cell>
          <cell r="DC337">
            <v>1939551.55</v>
          </cell>
          <cell r="DD337">
            <v>1939551.55</v>
          </cell>
          <cell r="DE337">
            <v>1939551.55</v>
          </cell>
          <cell r="DF337">
            <v>1939551.55</v>
          </cell>
          <cell r="DG337">
            <v>1939551.55</v>
          </cell>
          <cell r="DH337">
            <v>1939551.55</v>
          </cell>
        </row>
        <row r="338">
          <cell r="A338" t="str">
            <v>106</v>
          </cell>
          <cell r="D338">
            <v>55155772.07</v>
          </cell>
          <cell r="E338">
            <v>59777134.939999998</v>
          </cell>
          <cell r="F338">
            <v>59522741.600000001</v>
          </cell>
          <cell r="G338">
            <v>59811525.289999999</v>
          </cell>
          <cell r="H338">
            <v>60269073.789999999</v>
          </cell>
          <cell r="I338">
            <v>60378387.729999997</v>
          </cell>
          <cell r="J338">
            <v>54234691.420000002</v>
          </cell>
          <cell r="K338">
            <v>53319052.539999999</v>
          </cell>
          <cell r="L338">
            <v>55502445.530000001</v>
          </cell>
          <cell r="M338">
            <v>59575230</v>
          </cell>
          <cell r="N338">
            <v>63821406.780000001</v>
          </cell>
          <cell r="O338">
            <v>65705035.090000004</v>
          </cell>
          <cell r="P338">
            <v>65158239.32</v>
          </cell>
          <cell r="Q338">
            <v>64389407.079999998</v>
          </cell>
          <cell r="R338">
            <v>68828252.959999993</v>
          </cell>
          <cell r="S338">
            <v>64965719.759999998</v>
          </cell>
          <cell r="T338">
            <v>72489418</v>
          </cell>
          <cell r="U338">
            <v>72631177.180000007</v>
          </cell>
          <cell r="V338">
            <v>80039720.680000007</v>
          </cell>
          <cell r="W338">
            <v>78249525.939999998</v>
          </cell>
          <cell r="X338">
            <v>79646995.340000004</v>
          </cell>
          <cell r="Y338">
            <v>83186059.040000007</v>
          </cell>
          <cell r="Z338">
            <v>87491897.939999998</v>
          </cell>
          <cell r="AA338">
            <v>91246711.870000005</v>
          </cell>
          <cell r="AB338">
            <v>86192242.730000004</v>
          </cell>
          <cell r="AC338">
            <v>94491003.510000005</v>
          </cell>
          <cell r="AD338">
            <v>95210306.680000007</v>
          </cell>
          <cell r="AE338">
            <v>90134370.25</v>
          </cell>
          <cell r="AF338">
            <v>89673217.290000007</v>
          </cell>
          <cell r="AG338">
            <v>88170581.299999997</v>
          </cell>
          <cell r="AH338">
            <v>101902285.98</v>
          </cell>
          <cell r="AI338">
            <v>97464103.069999993</v>
          </cell>
          <cell r="AJ338">
            <v>94939397.230000004</v>
          </cell>
          <cell r="AK338">
            <v>94936476.810000002</v>
          </cell>
          <cell r="AL338">
            <v>106629096.68000001</v>
          </cell>
          <cell r="AM338">
            <v>103796910.95</v>
          </cell>
          <cell r="AN338">
            <v>116017760.18000001</v>
          </cell>
          <cell r="AO338">
            <v>123478325.7</v>
          </cell>
          <cell r="AP338">
            <v>123104497.54000001</v>
          </cell>
          <cell r="AQ338">
            <v>121594992.75</v>
          </cell>
          <cell r="AR338">
            <v>126843059.06</v>
          </cell>
          <cell r="AS338">
            <v>130438687.8</v>
          </cell>
          <cell r="AT338">
            <v>124575686.33</v>
          </cell>
          <cell r="AU338">
            <v>126774655.27</v>
          </cell>
          <cell r="AV338">
            <v>137418686.12</v>
          </cell>
          <cell r="AW338">
            <v>137030683.94</v>
          </cell>
          <cell r="AX338">
            <v>139217028.97</v>
          </cell>
          <cell r="AY338">
            <v>145683536.13999999</v>
          </cell>
          <cell r="AZ338">
            <v>146308565.94</v>
          </cell>
          <cell r="BA338">
            <v>157102252.53999999</v>
          </cell>
          <cell r="BB338">
            <v>135334145.16999999</v>
          </cell>
          <cell r="BC338">
            <v>134638092.81</v>
          </cell>
          <cell r="BD338">
            <v>134348672.25</v>
          </cell>
          <cell r="BE338">
            <v>147286293.41999999</v>
          </cell>
          <cell r="BF338">
            <v>142572224.63</v>
          </cell>
          <cell r="BG338">
            <v>148353060.91999999</v>
          </cell>
          <cell r="BH338">
            <v>140643217.83000001</v>
          </cell>
          <cell r="BI338">
            <v>138692376.77000001</v>
          </cell>
          <cell r="BJ338">
            <v>147018174.91</v>
          </cell>
          <cell r="BK338">
            <v>170081630.19999999</v>
          </cell>
          <cell r="BL338">
            <v>178863957</v>
          </cell>
          <cell r="BM338">
            <v>187836788.50999999</v>
          </cell>
          <cell r="BN338">
            <v>201744680.5</v>
          </cell>
          <cell r="BO338">
            <v>205080951.90000001</v>
          </cell>
          <cell r="BP338">
            <v>206811472.78999999</v>
          </cell>
          <cell r="BQ338">
            <v>208625228.19</v>
          </cell>
          <cell r="BR338">
            <v>198920933.38999999</v>
          </cell>
          <cell r="BS338">
            <v>207592067.80000001</v>
          </cell>
          <cell r="BT338">
            <v>212178321.44</v>
          </cell>
          <cell r="BU338">
            <v>216700510.66999999</v>
          </cell>
          <cell r="BV338">
            <v>212255031.72999999</v>
          </cell>
          <cell r="BW338">
            <v>225486245.28999999</v>
          </cell>
          <cell r="BX338">
            <v>208469489.09</v>
          </cell>
          <cell r="BY338">
            <v>214740525.37</v>
          </cell>
          <cell r="BZ338">
            <v>233879588.15000001</v>
          </cell>
          <cell r="CA338">
            <v>236630022.56</v>
          </cell>
          <cell r="CB338">
            <v>245175601.69999999</v>
          </cell>
          <cell r="CC338">
            <v>243003938.44</v>
          </cell>
          <cell r="CD338">
            <v>239387266.99000001</v>
          </cell>
          <cell r="CE338">
            <v>244937641.88</v>
          </cell>
          <cell r="CF338">
            <v>262835663.27000001</v>
          </cell>
          <cell r="CG338">
            <v>255783925.18000001</v>
          </cell>
          <cell r="CH338">
            <v>331089860.20999998</v>
          </cell>
          <cell r="CI338">
            <v>349864270.37</v>
          </cell>
          <cell r="CJ338">
            <v>307437320.20999998</v>
          </cell>
          <cell r="CK338">
            <v>327435776.81</v>
          </cell>
          <cell r="CL338">
            <v>320782810.11000001</v>
          </cell>
          <cell r="CM338">
            <v>334363018.18000001</v>
          </cell>
          <cell r="CN338">
            <v>398104794.31999999</v>
          </cell>
          <cell r="CO338">
            <v>370986194.32999998</v>
          </cell>
          <cell r="CP338">
            <v>357640735.67000002</v>
          </cell>
          <cell r="CQ338">
            <v>292578511.06</v>
          </cell>
          <cell r="CR338">
            <v>302547183.81999999</v>
          </cell>
          <cell r="CS338">
            <v>247163875.91999999</v>
          </cell>
          <cell r="CT338">
            <v>243388959.18000001</v>
          </cell>
          <cell r="CU338">
            <v>300047316.99000001</v>
          </cell>
          <cell r="CV338">
            <v>297505685.51999998</v>
          </cell>
          <cell r="CW338">
            <v>293670988.24000001</v>
          </cell>
          <cell r="CX338">
            <v>294694023.07999998</v>
          </cell>
          <cell r="CY338">
            <v>290733193.19999999</v>
          </cell>
          <cell r="CZ338">
            <v>302344491.98000002</v>
          </cell>
          <cell r="DA338">
            <v>283595429.08999997</v>
          </cell>
          <cell r="DB338">
            <v>272186852.60000002</v>
          </cell>
          <cell r="DC338">
            <v>279198375.10000002</v>
          </cell>
          <cell r="DD338">
            <v>293707332.66000003</v>
          </cell>
          <cell r="DE338">
            <v>304307169.75</v>
          </cell>
          <cell r="DF338">
            <v>359987415.35000002</v>
          </cell>
          <cell r="DG338">
            <v>371496189.58999997</v>
          </cell>
          <cell r="DH338">
            <v>331968650.48000002</v>
          </cell>
        </row>
        <row r="339">
          <cell r="A339" t="str">
            <v>107</v>
          </cell>
          <cell r="D339">
            <v>37999178.799999997</v>
          </cell>
          <cell r="E339">
            <v>35807420.920000002</v>
          </cell>
          <cell r="F339">
            <v>39501441.969999999</v>
          </cell>
          <cell r="G339">
            <v>40111903.259999998</v>
          </cell>
          <cell r="H339">
            <v>40338458.479999997</v>
          </cell>
          <cell r="I339">
            <v>42218897.460000001</v>
          </cell>
          <cell r="J339">
            <v>45750443.969999999</v>
          </cell>
          <cell r="K339">
            <v>40929057.259999998</v>
          </cell>
          <cell r="L339">
            <v>43483994.240000002</v>
          </cell>
          <cell r="M339">
            <v>44285914.039999999</v>
          </cell>
          <cell r="N339">
            <v>40392561.509999998</v>
          </cell>
          <cell r="O339">
            <v>40115222.409999996</v>
          </cell>
          <cell r="P339">
            <v>46635954.68</v>
          </cell>
          <cell r="Q339">
            <v>46972143.590000004</v>
          </cell>
          <cell r="R339">
            <v>42466526.619999997</v>
          </cell>
          <cell r="S339">
            <v>44747851.289999999</v>
          </cell>
          <cell r="T339">
            <v>34317936.780000001</v>
          </cell>
          <cell r="U339">
            <v>31350733.390000001</v>
          </cell>
          <cell r="V339">
            <v>23330873.239999998</v>
          </cell>
          <cell r="W339">
            <v>26918285.91</v>
          </cell>
          <cell r="X339">
            <v>28581241</v>
          </cell>
          <cell r="Y339">
            <v>27609368.649999999</v>
          </cell>
          <cell r="Z339">
            <v>30037295.84</v>
          </cell>
          <cell r="AA339">
            <v>31116400.140000001</v>
          </cell>
          <cell r="AB339">
            <v>32173444.620000001</v>
          </cell>
          <cell r="AC339">
            <v>26347085.84</v>
          </cell>
          <cell r="AD339">
            <v>34957213.460000001</v>
          </cell>
          <cell r="AE339">
            <v>38950809.469999999</v>
          </cell>
          <cell r="AF339">
            <v>40408048.75</v>
          </cell>
          <cell r="AG339">
            <v>47638018.75</v>
          </cell>
          <cell r="AH339">
            <v>31292455.239999998</v>
          </cell>
          <cell r="AI339">
            <v>31457023.140000001</v>
          </cell>
          <cell r="AJ339">
            <v>32878080.420000002</v>
          </cell>
          <cell r="AK339">
            <v>39114341.969999999</v>
          </cell>
          <cell r="AL339">
            <v>30953975.800000001</v>
          </cell>
          <cell r="AM339">
            <v>33838173.210000001</v>
          </cell>
          <cell r="AN339">
            <v>27484714.870000001</v>
          </cell>
          <cell r="AO339">
            <v>23589092.920000002</v>
          </cell>
          <cell r="AP339">
            <v>25860519.969999999</v>
          </cell>
          <cell r="AQ339">
            <v>22431305.52</v>
          </cell>
          <cell r="AR339">
            <v>19601495.550000001</v>
          </cell>
          <cell r="AS339">
            <v>22896680.879999999</v>
          </cell>
          <cell r="AT339">
            <v>23021023.920000002</v>
          </cell>
          <cell r="AU339">
            <v>24466916.82</v>
          </cell>
          <cell r="AV339">
            <v>26444168.329999998</v>
          </cell>
          <cell r="AW339">
            <v>19059484.760000002</v>
          </cell>
          <cell r="AX339">
            <v>18962145</v>
          </cell>
          <cell r="AY339">
            <v>20898478.719999999</v>
          </cell>
          <cell r="AZ339">
            <v>22182235.109999999</v>
          </cell>
          <cell r="BA339">
            <v>18556747.960000001</v>
          </cell>
          <cell r="BB339">
            <v>20715951.399999999</v>
          </cell>
          <cell r="BC339">
            <v>22686371.66</v>
          </cell>
          <cell r="BD339">
            <v>24764408.57</v>
          </cell>
          <cell r="BE339">
            <v>22852997.649999999</v>
          </cell>
          <cell r="BF339">
            <v>25749403.039999999</v>
          </cell>
          <cell r="BG339">
            <v>27787371.550000001</v>
          </cell>
          <cell r="BH339">
            <v>32937378.98</v>
          </cell>
          <cell r="BI339">
            <v>42024779.399999999</v>
          </cell>
          <cell r="BJ339">
            <v>49273450.009999998</v>
          </cell>
          <cell r="BK339">
            <v>40575117.020000003</v>
          </cell>
          <cell r="BL339">
            <v>32694180.890000001</v>
          </cell>
          <cell r="BM339">
            <v>37233262.219999999</v>
          </cell>
          <cell r="BN339">
            <v>30935389.949999999</v>
          </cell>
          <cell r="BO339">
            <v>31118917.460000001</v>
          </cell>
          <cell r="BP339">
            <v>32041115.710000001</v>
          </cell>
          <cell r="BQ339">
            <v>37503290.119999997</v>
          </cell>
          <cell r="BR339">
            <v>39013136.270000003</v>
          </cell>
          <cell r="BS339">
            <v>43393050.829999998</v>
          </cell>
          <cell r="BT339">
            <v>55128154.759999998</v>
          </cell>
          <cell r="BU339">
            <v>55798695.200000003</v>
          </cell>
          <cell r="BV339">
            <v>62985742.700000003</v>
          </cell>
          <cell r="BW339">
            <v>59495069.460000001</v>
          </cell>
          <cell r="BX339">
            <v>71222206.430000007</v>
          </cell>
          <cell r="BY339">
            <v>87383269.209999993</v>
          </cell>
          <cell r="BZ339">
            <v>89788572.590000004</v>
          </cell>
          <cell r="CA339">
            <v>92714028.870000005</v>
          </cell>
          <cell r="CB339">
            <v>105186283.93000001</v>
          </cell>
          <cell r="CC339">
            <v>119487898.45</v>
          </cell>
          <cell r="CD339">
            <v>129123895.42</v>
          </cell>
          <cell r="CE339">
            <v>142981953.91999999</v>
          </cell>
          <cell r="CF339">
            <v>160185910.00999999</v>
          </cell>
          <cell r="CG339">
            <v>169862754.34</v>
          </cell>
          <cell r="CH339">
            <v>123028338.83</v>
          </cell>
          <cell r="CI339">
            <v>131449528.66</v>
          </cell>
          <cell r="CJ339">
            <v>140807877.94999999</v>
          </cell>
          <cell r="CK339">
            <v>142689499.03</v>
          </cell>
          <cell r="CL339">
            <v>158270839.91</v>
          </cell>
          <cell r="CM339">
            <v>168655143.25</v>
          </cell>
          <cell r="CN339">
            <v>116700530.19</v>
          </cell>
          <cell r="CO339">
            <v>118593709.79000001</v>
          </cell>
          <cell r="CP339">
            <v>130442949.62</v>
          </cell>
          <cell r="CQ339">
            <v>145786057.19</v>
          </cell>
          <cell r="CR339">
            <v>159472172.24000001</v>
          </cell>
          <cell r="CS339">
            <v>174423907.46000001</v>
          </cell>
          <cell r="CT339">
            <v>191413442.62</v>
          </cell>
          <cell r="CU339">
            <v>142092425.80000001</v>
          </cell>
          <cell r="CV339">
            <v>147483849.61000001</v>
          </cell>
          <cell r="CW339">
            <v>158111229.03999999</v>
          </cell>
          <cell r="CX339">
            <v>162199578.15000001</v>
          </cell>
          <cell r="CY339">
            <v>174470939.97</v>
          </cell>
          <cell r="CZ339">
            <v>184225626.90000001</v>
          </cell>
          <cell r="DA339">
            <v>188333223.03999999</v>
          </cell>
          <cell r="DB339">
            <v>201983440.96000001</v>
          </cell>
          <cell r="DC339">
            <v>212538815.99000001</v>
          </cell>
          <cell r="DD339">
            <v>225280632.13</v>
          </cell>
          <cell r="DE339">
            <v>235379560.06999999</v>
          </cell>
          <cell r="DF339">
            <v>200850235.99000001</v>
          </cell>
          <cell r="DG339">
            <v>210666560.53999999</v>
          </cell>
          <cell r="DH339">
            <v>246108951.69999999</v>
          </cell>
        </row>
        <row r="340">
          <cell r="A340" t="str">
            <v>108</v>
          </cell>
          <cell r="D340">
            <v>-591732868.38</v>
          </cell>
          <cell r="E340">
            <v>-586438818.78999996</v>
          </cell>
          <cell r="F340">
            <v>-589714267.12</v>
          </cell>
          <cell r="G340">
            <v>-593393723.83000004</v>
          </cell>
          <cell r="H340">
            <v>-597195509.63999999</v>
          </cell>
          <cell r="I340">
            <v>-600813568.86000001</v>
          </cell>
          <cell r="J340">
            <v>-604258867.55999994</v>
          </cell>
          <cell r="K340">
            <v>-608066002.65999997</v>
          </cell>
          <cell r="L340">
            <v>-611666579.42999995</v>
          </cell>
          <cell r="M340">
            <v>-615192145.04999995</v>
          </cell>
          <cell r="N340">
            <v>-618696989.74000001</v>
          </cell>
          <cell r="O340">
            <v>-622798749.75</v>
          </cell>
          <cell r="P340">
            <v>-626414223.22000003</v>
          </cell>
          <cell r="Q340">
            <v>-630297320.54999995</v>
          </cell>
          <cell r="R340">
            <v>-626026462.19000006</v>
          </cell>
          <cell r="S340">
            <v>-629481787.77999997</v>
          </cell>
          <cell r="T340">
            <v>-633407694.87</v>
          </cell>
          <cell r="U340">
            <v>-637113261.25</v>
          </cell>
          <cell r="V340">
            <v>-640997847.29999995</v>
          </cell>
          <cell r="W340">
            <v>-645031433.07000005</v>
          </cell>
          <cell r="X340">
            <v>-649212312.63999999</v>
          </cell>
          <cell r="Y340">
            <v>-652925758.14999998</v>
          </cell>
          <cell r="Z340">
            <v>-656937250.03999996</v>
          </cell>
          <cell r="AA340">
            <v>-661219178.77999997</v>
          </cell>
          <cell r="AB340">
            <v>-664335974.89999998</v>
          </cell>
          <cell r="AC340">
            <v>-667989386.65999997</v>
          </cell>
          <cell r="AD340">
            <v>-672306115</v>
          </cell>
          <cell r="AE340">
            <v>-676277049.35000002</v>
          </cell>
          <cell r="AF340">
            <v>-680505885.42999995</v>
          </cell>
          <cell r="AG340">
            <v>-684834510.82000005</v>
          </cell>
          <cell r="AH340">
            <v>-684675508.84000003</v>
          </cell>
          <cell r="AI340">
            <v>-688653882.73000002</v>
          </cell>
          <cell r="AJ340">
            <v>-691884393.03999996</v>
          </cell>
          <cell r="AK340">
            <v>-696374970.34000003</v>
          </cell>
          <cell r="AL340">
            <v>-700644431.88999999</v>
          </cell>
          <cell r="AM340">
            <v>-704927856.59000003</v>
          </cell>
          <cell r="AN340">
            <v>-687208168.71000004</v>
          </cell>
          <cell r="AO340">
            <v>-690169834.59000003</v>
          </cell>
          <cell r="AP340">
            <v>-693153573.80999994</v>
          </cell>
          <cell r="AQ340">
            <v>-694271995.13</v>
          </cell>
          <cell r="AR340">
            <v>-693184465.02999997</v>
          </cell>
          <cell r="AS340">
            <v>-695973381.70000005</v>
          </cell>
          <cell r="AT340">
            <v>-698534833.57000005</v>
          </cell>
          <cell r="AU340">
            <v>-701315186.72000003</v>
          </cell>
          <cell r="AV340">
            <v>-703914969.53999996</v>
          </cell>
          <cell r="AW340">
            <v>-706721435.25</v>
          </cell>
          <cell r="AX340">
            <v>-709443426.14999998</v>
          </cell>
          <cell r="AY340">
            <v>-712123791.53999996</v>
          </cell>
          <cell r="AZ340">
            <v>-714503895.71000004</v>
          </cell>
          <cell r="BA340">
            <v>-717952437.62</v>
          </cell>
          <cell r="BB340">
            <v>-720656875.60000002</v>
          </cell>
          <cell r="BC340">
            <v>-723782502.20000005</v>
          </cell>
          <cell r="BD340">
            <v>-727366333.71000004</v>
          </cell>
          <cell r="BE340">
            <v>-730787864.12</v>
          </cell>
          <cell r="BF340">
            <v>-733638285.32000005</v>
          </cell>
          <cell r="BG340">
            <v>-737472788.20000005</v>
          </cell>
          <cell r="BH340">
            <v>-740968301.04999995</v>
          </cell>
          <cell r="BI340">
            <v>-744211194.49000001</v>
          </cell>
          <cell r="BJ340">
            <v>-747000982.42999995</v>
          </cell>
          <cell r="BK340">
            <v>-750770490.00999999</v>
          </cell>
          <cell r="BL340">
            <v>-753420911.94000006</v>
          </cell>
          <cell r="BM340">
            <v>-755706931.53999996</v>
          </cell>
          <cell r="BN340">
            <v>-757908542.75</v>
          </cell>
          <cell r="BO340">
            <v>-760609162.13999999</v>
          </cell>
          <cell r="BP340">
            <v>-762994092.24000001</v>
          </cell>
          <cell r="BQ340">
            <v>-764941372.60000002</v>
          </cell>
          <cell r="BR340">
            <v>-766137111.20000005</v>
          </cell>
          <cell r="BS340">
            <v>-768151293.82000005</v>
          </cell>
          <cell r="BT340">
            <v>-770595065.63</v>
          </cell>
          <cell r="BU340">
            <v>-773316731.99000001</v>
          </cell>
          <cell r="BV340">
            <v>-775447937.87</v>
          </cell>
          <cell r="BW340">
            <v>-778339907.90999997</v>
          </cell>
          <cell r="BX340">
            <v>-779592931.48000002</v>
          </cell>
          <cell r="BY340">
            <v>-787561490.44000006</v>
          </cell>
          <cell r="BZ340">
            <v>-784003538.62</v>
          </cell>
          <cell r="CA340">
            <v>-786728230.58000004</v>
          </cell>
          <cell r="CB340">
            <v>-789502238.74000001</v>
          </cell>
          <cell r="CC340">
            <v>-792523585.24000001</v>
          </cell>
          <cell r="CD340">
            <v>-795307920.09000003</v>
          </cell>
          <cell r="CE340">
            <v>-797766058.53999996</v>
          </cell>
          <cell r="CF340">
            <v>-800835996.24000001</v>
          </cell>
          <cell r="CG340">
            <v>-803672762.35000002</v>
          </cell>
          <cell r="CH340">
            <v>-806734300.20000005</v>
          </cell>
          <cell r="CI340">
            <v>-809930321.29999995</v>
          </cell>
          <cell r="CJ340">
            <v>-809884064.34000003</v>
          </cell>
          <cell r="CK340">
            <v>-814807614.39999998</v>
          </cell>
          <cell r="CL340">
            <v>-814722203.86000001</v>
          </cell>
          <cell r="CM340">
            <v>-818252605.88</v>
          </cell>
          <cell r="CN340">
            <v>-821587436.40999997</v>
          </cell>
          <cell r="CO340">
            <v>-825008671.97000003</v>
          </cell>
          <cell r="CP340">
            <v>-827883017.86000001</v>
          </cell>
          <cell r="CQ340">
            <v>-830732101.87</v>
          </cell>
          <cell r="CR340">
            <v>-834604786.10000002</v>
          </cell>
          <cell r="CS340">
            <v>-837679167.07000005</v>
          </cell>
          <cell r="CT340">
            <v>-839246062</v>
          </cell>
          <cell r="CU340">
            <v>-840967516.52999997</v>
          </cell>
          <cell r="CV340">
            <v>-849619392.89999998</v>
          </cell>
          <cell r="CW340">
            <v>-853049332.07000005</v>
          </cell>
          <cell r="CX340">
            <v>-857133985.26999998</v>
          </cell>
          <cell r="CY340">
            <v>-855261647.28999996</v>
          </cell>
          <cell r="CZ340">
            <v>-858245069.20000005</v>
          </cell>
          <cell r="DA340">
            <v>-862262649.89999998</v>
          </cell>
          <cell r="DB340">
            <v>-860036033.69000006</v>
          </cell>
          <cell r="DC340">
            <v>-861877921.13</v>
          </cell>
          <cell r="DD340">
            <v>-865640518.76999998</v>
          </cell>
          <cell r="DE340">
            <v>-865216614.13</v>
          </cell>
          <cell r="DF340">
            <v>-869558133.36000001</v>
          </cell>
          <cell r="DG340">
            <v>-873784629.35000002</v>
          </cell>
          <cell r="DH340">
            <v>-876211307.15999997</v>
          </cell>
        </row>
        <row r="341">
          <cell r="A341" t="str">
            <v>114</v>
          </cell>
          <cell r="D341">
            <v>5031897.24</v>
          </cell>
          <cell r="E341">
            <v>5031897.24</v>
          </cell>
          <cell r="F341">
            <v>5031897.24</v>
          </cell>
          <cell r="G341">
            <v>5031897.24</v>
          </cell>
          <cell r="H341">
            <v>5031897.24</v>
          </cell>
          <cell r="I341">
            <v>5031897.24</v>
          </cell>
          <cell r="J341">
            <v>5031897.24</v>
          </cell>
          <cell r="K341">
            <v>5031897.24</v>
          </cell>
          <cell r="L341">
            <v>5031897.24</v>
          </cell>
          <cell r="M341">
            <v>5031897.24</v>
          </cell>
          <cell r="N341">
            <v>5031897.24</v>
          </cell>
          <cell r="O341">
            <v>5031897.24</v>
          </cell>
          <cell r="P341">
            <v>5031897.24</v>
          </cell>
          <cell r="Q341">
            <v>5031897.24</v>
          </cell>
          <cell r="R341">
            <v>5031897.24</v>
          </cell>
          <cell r="S341">
            <v>5031897.24</v>
          </cell>
          <cell r="T341">
            <v>5031897.24</v>
          </cell>
          <cell r="U341">
            <v>5031897.24</v>
          </cell>
          <cell r="V341">
            <v>5031897.24</v>
          </cell>
          <cell r="W341">
            <v>5031897.24</v>
          </cell>
          <cell r="X341">
            <v>5031897.24</v>
          </cell>
          <cell r="Y341">
            <v>5031897.24</v>
          </cell>
          <cell r="Z341">
            <v>5031897.24</v>
          </cell>
          <cell r="AA341">
            <v>5031897.24</v>
          </cell>
          <cell r="AB341">
            <v>5031897.24</v>
          </cell>
          <cell r="AC341">
            <v>5031897.24</v>
          </cell>
          <cell r="AD341">
            <v>5031897.24</v>
          </cell>
          <cell r="AE341">
            <v>5031897.24</v>
          </cell>
          <cell r="AF341">
            <v>5031897.24</v>
          </cell>
          <cell r="AG341">
            <v>5031897.24</v>
          </cell>
          <cell r="AH341">
            <v>5031897.24</v>
          </cell>
          <cell r="AI341">
            <v>5031897.24</v>
          </cell>
          <cell r="AJ341">
            <v>5031897.24</v>
          </cell>
          <cell r="AK341">
            <v>5031897.24</v>
          </cell>
          <cell r="AL341">
            <v>5031897.24</v>
          </cell>
          <cell r="AM341">
            <v>5031897.24</v>
          </cell>
          <cell r="AN341">
            <v>5031897.24</v>
          </cell>
          <cell r="AO341">
            <v>5031897.24</v>
          </cell>
          <cell r="AP341">
            <v>5031897.24</v>
          </cell>
          <cell r="AQ341">
            <v>5031897.24</v>
          </cell>
          <cell r="AR341">
            <v>5031897.24</v>
          </cell>
          <cell r="AS341">
            <v>5031897.24</v>
          </cell>
          <cell r="AT341">
            <v>5031897.24</v>
          </cell>
          <cell r="AU341">
            <v>5031897.24</v>
          </cell>
          <cell r="AV341">
            <v>5031897.24</v>
          </cell>
          <cell r="AW341">
            <v>5031897.24</v>
          </cell>
          <cell r="AX341">
            <v>5031897.24</v>
          </cell>
          <cell r="AY341">
            <v>5031897.24</v>
          </cell>
          <cell r="AZ341">
            <v>5031897.24</v>
          </cell>
          <cell r="BA341">
            <v>5031897.24</v>
          </cell>
          <cell r="BB341">
            <v>5031897.24</v>
          </cell>
          <cell r="BC341">
            <v>5031897.24</v>
          </cell>
          <cell r="BD341">
            <v>5031897.24</v>
          </cell>
          <cell r="BE341">
            <v>5031897.24</v>
          </cell>
          <cell r="BF341">
            <v>5031897.24</v>
          </cell>
          <cell r="BG341">
            <v>5031897.24</v>
          </cell>
          <cell r="BH341">
            <v>5031897.24</v>
          </cell>
          <cell r="BI341">
            <v>5031897.24</v>
          </cell>
          <cell r="BJ341">
            <v>5031897.24</v>
          </cell>
          <cell r="BK341">
            <v>5031897.24</v>
          </cell>
          <cell r="BL341">
            <v>5031897.24</v>
          </cell>
          <cell r="BM341">
            <v>5031897.24</v>
          </cell>
          <cell r="BN341">
            <v>5031897.24</v>
          </cell>
          <cell r="BO341">
            <v>5031897.24</v>
          </cell>
          <cell r="BP341">
            <v>5031897.24</v>
          </cell>
          <cell r="BQ341">
            <v>5031897.24</v>
          </cell>
          <cell r="BR341">
            <v>5031897.24</v>
          </cell>
          <cell r="BS341">
            <v>5031897.24</v>
          </cell>
          <cell r="BT341">
            <v>5031897.24</v>
          </cell>
          <cell r="BU341">
            <v>5031897.24</v>
          </cell>
          <cell r="BV341">
            <v>5031897.24</v>
          </cell>
          <cell r="BW341">
            <v>5031897.24</v>
          </cell>
          <cell r="BX341">
            <v>5031897.24</v>
          </cell>
          <cell r="BY341">
            <v>5031897.24</v>
          </cell>
          <cell r="BZ341">
            <v>5031897.24</v>
          </cell>
          <cell r="CA341">
            <v>5031897.24</v>
          </cell>
          <cell r="CB341">
            <v>5031897.24</v>
          </cell>
          <cell r="CC341">
            <v>5031897.24</v>
          </cell>
          <cell r="CD341">
            <v>5031897.24</v>
          </cell>
          <cell r="CE341">
            <v>5031897.24</v>
          </cell>
          <cell r="CF341">
            <v>5031897.24</v>
          </cell>
          <cell r="CG341">
            <v>5031897.24</v>
          </cell>
          <cell r="CH341">
            <v>5031897.24</v>
          </cell>
          <cell r="CI341">
            <v>5031897.24</v>
          </cell>
          <cell r="CJ341">
            <v>5031897.24</v>
          </cell>
          <cell r="CK341">
            <v>5031897.24</v>
          </cell>
          <cell r="CL341">
            <v>5031897.24</v>
          </cell>
          <cell r="CM341">
            <v>5031897.24</v>
          </cell>
          <cell r="CN341">
            <v>5031897.24</v>
          </cell>
          <cell r="CO341">
            <v>5031897.24</v>
          </cell>
          <cell r="CP341">
            <v>5031897.24</v>
          </cell>
          <cell r="CQ341">
            <v>5031897.24</v>
          </cell>
          <cell r="CR341">
            <v>5031897.24</v>
          </cell>
          <cell r="CS341">
            <v>5031897.24</v>
          </cell>
          <cell r="CT341">
            <v>5031897.24</v>
          </cell>
          <cell r="CU341">
            <v>5031897.24</v>
          </cell>
          <cell r="CV341">
            <v>5031897.24</v>
          </cell>
          <cell r="CW341">
            <v>5031897.24</v>
          </cell>
          <cell r="CX341">
            <v>5031897.24</v>
          </cell>
          <cell r="CY341">
            <v>5031897.24</v>
          </cell>
          <cell r="CZ341">
            <v>5031897.24</v>
          </cell>
          <cell r="DA341">
            <v>5031897.24</v>
          </cell>
          <cell r="DB341">
            <v>5031897.24</v>
          </cell>
          <cell r="DC341">
            <v>5031897.24</v>
          </cell>
          <cell r="DD341">
            <v>5031897.24</v>
          </cell>
          <cell r="DE341">
            <v>5031897.24</v>
          </cell>
          <cell r="DF341">
            <v>5031897.24</v>
          </cell>
          <cell r="DG341">
            <v>5031897.24</v>
          </cell>
          <cell r="DH341">
            <v>5031897.24</v>
          </cell>
        </row>
        <row r="342">
          <cell r="A342" t="str">
            <v>115</v>
          </cell>
          <cell r="D342">
            <v>-3962608.63</v>
          </cell>
          <cell r="E342">
            <v>-3975037.45</v>
          </cell>
          <cell r="F342">
            <v>-3987466.27</v>
          </cell>
          <cell r="G342">
            <v>-3999895.09</v>
          </cell>
          <cell r="H342">
            <v>-4012323.91</v>
          </cell>
          <cell r="I342">
            <v>-4024752.73</v>
          </cell>
          <cell r="J342">
            <v>-4037181.55</v>
          </cell>
          <cell r="K342">
            <v>-4049610.37</v>
          </cell>
          <cell r="L342">
            <v>-4062039.19</v>
          </cell>
          <cell r="M342">
            <v>-4074468.01</v>
          </cell>
          <cell r="N342">
            <v>-4086896.83</v>
          </cell>
          <cell r="O342">
            <v>-4099325.65</v>
          </cell>
          <cell r="P342">
            <v>-4111754.47</v>
          </cell>
          <cell r="Q342">
            <v>-4124183.29</v>
          </cell>
          <cell r="R342">
            <v>-4136612.11</v>
          </cell>
          <cell r="S342">
            <v>-4149040.93</v>
          </cell>
          <cell r="T342">
            <v>-4161469.75</v>
          </cell>
          <cell r="U342">
            <v>-4173898.57</v>
          </cell>
          <cell r="V342">
            <v>-4186327.39</v>
          </cell>
          <cell r="W342">
            <v>-4198756.21</v>
          </cell>
          <cell r="X342">
            <v>-4211185.03</v>
          </cell>
          <cell r="Y342">
            <v>-4223613.8499999996</v>
          </cell>
          <cell r="Z342">
            <v>-4236042.67</v>
          </cell>
          <cell r="AA342">
            <v>-4248471.49</v>
          </cell>
          <cell r="AB342">
            <v>-4260900.3099999996</v>
          </cell>
          <cell r="AC342">
            <v>-4273329.13</v>
          </cell>
          <cell r="AD342">
            <v>-4285757.95</v>
          </cell>
          <cell r="AE342">
            <v>-4298186.7699999996</v>
          </cell>
          <cell r="AF342">
            <v>-4310615.59</v>
          </cell>
          <cell r="AG342">
            <v>-4323044.41</v>
          </cell>
          <cell r="AH342">
            <v>-4335473.2300000004</v>
          </cell>
          <cell r="AI342">
            <v>-4347902.05</v>
          </cell>
          <cell r="AJ342">
            <v>-4360330.87</v>
          </cell>
          <cell r="AK342">
            <v>-4372759.6900000004</v>
          </cell>
          <cell r="AL342">
            <v>-4385188.51</v>
          </cell>
          <cell r="AM342">
            <v>-4397617.33</v>
          </cell>
          <cell r="AN342">
            <v>-4410046.1500000004</v>
          </cell>
          <cell r="AO342">
            <v>-4422474.97</v>
          </cell>
          <cell r="AP342">
            <v>-4434903.79</v>
          </cell>
          <cell r="AQ342">
            <v>-4447332.6100000003</v>
          </cell>
          <cell r="AR342">
            <v>-4459761.43</v>
          </cell>
          <cell r="AS342">
            <v>-4472190.25</v>
          </cell>
          <cell r="AT342">
            <v>-4484619.07</v>
          </cell>
          <cell r="AU342">
            <v>-4497047.8899999997</v>
          </cell>
          <cell r="AV342">
            <v>-4509476.71</v>
          </cell>
          <cell r="AW342">
            <v>-4521905.53</v>
          </cell>
          <cell r="AX342">
            <v>-4534334.3499999996</v>
          </cell>
          <cell r="AY342">
            <v>-4546763.17</v>
          </cell>
          <cell r="AZ342">
            <v>-4559191.99</v>
          </cell>
          <cell r="BA342">
            <v>-4571620.8099999996</v>
          </cell>
          <cell r="BB342">
            <v>-4584049.63</v>
          </cell>
          <cell r="BC342">
            <v>-4596478.45</v>
          </cell>
          <cell r="BD342">
            <v>-4608907.2699999996</v>
          </cell>
          <cell r="BE342">
            <v>-4621336.09</v>
          </cell>
          <cell r="BF342">
            <v>-4633764.91</v>
          </cell>
          <cell r="BG342">
            <v>-4646193.7300000004</v>
          </cell>
          <cell r="BH342">
            <v>-4658622.55</v>
          </cell>
          <cell r="BI342">
            <v>-4671051.37</v>
          </cell>
          <cell r="BJ342">
            <v>-4683480.1900000004</v>
          </cell>
          <cell r="BK342">
            <v>-4695909.01</v>
          </cell>
          <cell r="BL342">
            <v>-4708337.83</v>
          </cell>
          <cell r="BM342">
            <v>-4720766.6500000004</v>
          </cell>
          <cell r="BN342">
            <v>-4733195.47</v>
          </cell>
          <cell r="BO342">
            <v>-4745624.29</v>
          </cell>
          <cell r="BP342">
            <v>-4758053.1100000003</v>
          </cell>
          <cell r="BQ342">
            <v>-4770481.93</v>
          </cell>
          <cell r="BR342">
            <v>-4782910.75</v>
          </cell>
          <cell r="BS342">
            <v>-4795339.57</v>
          </cell>
          <cell r="BT342">
            <v>-4807768.3899999997</v>
          </cell>
          <cell r="BU342">
            <v>-4820197.21</v>
          </cell>
          <cell r="BV342">
            <v>-4832626.03</v>
          </cell>
          <cell r="BW342">
            <v>-4845054.8499999996</v>
          </cell>
          <cell r="BX342">
            <v>-4857483.67</v>
          </cell>
          <cell r="BY342">
            <v>-4869912.49</v>
          </cell>
          <cell r="BZ342">
            <v>-4882341.3099999996</v>
          </cell>
          <cell r="CA342">
            <v>-4894770.13</v>
          </cell>
          <cell r="CB342">
            <v>-4907198.95</v>
          </cell>
          <cell r="CC342">
            <v>-4919627.7699999996</v>
          </cell>
          <cell r="CD342">
            <v>-4932056.59</v>
          </cell>
          <cell r="CE342">
            <v>-4944485.41</v>
          </cell>
          <cell r="CF342">
            <v>-4956914.2300000004</v>
          </cell>
          <cell r="CG342">
            <v>-4969343.05</v>
          </cell>
          <cell r="CH342">
            <v>-4975292.78</v>
          </cell>
          <cell r="CI342">
            <v>-4981242.51</v>
          </cell>
          <cell r="CJ342">
            <v>-4987192.24</v>
          </cell>
          <cell r="CK342">
            <v>-4993141.97</v>
          </cell>
          <cell r="CL342">
            <v>-4999091.7</v>
          </cell>
          <cell r="CM342">
            <v>-5005041.43</v>
          </cell>
          <cell r="CN342">
            <v>-5010991.16</v>
          </cell>
          <cell r="CO342">
            <v>-5016940.8899999997</v>
          </cell>
          <cell r="CP342">
            <v>-5022890.62</v>
          </cell>
          <cell r="CQ342">
            <v>-5028840.3499999996</v>
          </cell>
          <cell r="CR342">
            <v>-5028152.9800000004</v>
          </cell>
          <cell r="CS342">
            <v>-5028152.9800000004</v>
          </cell>
          <cell r="CT342">
            <v>-5028152.9800000004</v>
          </cell>
          <cell r="CU342">
            <v>-5028152.9800000004</v>
          </cell>
          <cell r="CV342">
            <v>-5028152.9800000004</v>
          </cell>
          <cell r="CW342">
            <v>-5028152.9800000004</v>
          </cell>
          <cell r="CX342">
            <v>-5028152.9800000004</v>
          </cell>
          <cell r="CY342">
            <v>-5028152.9800000004</v>
          </cell>
          <cell r="CZ342">
            <v>-5028152.9800000004</v>
          </cell>
          <cell r="DA342">
            <v>-5028152.9800000004</v>
          </cell>
          <cell r="DB342">
            <v>-5028152.9800000004</v>
          </cell>
          <cell r="DC342">
            <v>-5028152.9800000004</v>
          </cell>
          <cell r="DD342">
            <v>-5028152.9800000004</v>
          </cell>
          <cell r="DE342">
            <v>-5028152.9800000004</v>
          </cell>
          <cell r="DF342">
            <v>-5028152.9800000004</v>
          </cell>
          <cell r="DG342">
            <v>-5028152.9800000004</v>
          </cell>
          <cell r="DH342">
            <v>-5028152.9800000004</v>
          </cell>
        </row>
        <row r="343">
          <cell r="A343" t="str">
            <v>121</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row>
        <row r="344">
          <cell r="A344" t="str">
            <v>123</v>
          </cell>
          <cell r="D344">
            <v>1072286.1399999999</v>
          </cell>
          <cell r="E344">
            <v>690737.44</v>
          </cell>
          <cell r="F344">
            <v>1021328.38</v>
          </cell>
          <cell r="G344">
            <v>1227819.6399999999</v>
          </cell>
          <cell r="H344">
            <v>789786.66</v>
          </cell>
          <cell r="I344">
            <v>968313.89</v>
          </cell>
          <cell r="J344">
            <v>1230761.6100000001</v>
          </cell>
          <cell r="K344">
            <v>805462.03</v>
          </cell>
          <cell r="L344">
            <v>1003294.07</v>
          </cell>
          <cell r="M344">
            <v>1072047.3899999999</v>
          </cell>
          <cell r="N344">
            <v>665438.34</v>
          </cell>
          <cell r="O344">
            <v>833785.45</v>
          </cell>
          <cell r="P344">
            <v>1026666.02</v>
          </cell>
          <cell r="Q344">
            <v>1417441.09</v>
          </cell>
          <cell r="R344">
            <v>1096979.0900000001</v>
          </cell>
          <cell r="S344">
            <v>1247742.3799999999</v>
          </cell>
          <cell r="T344">
            <v>570274.97</v>
          </cell>
          <cell r="U344">
            <v>794634.67</v>
          </cell>
          <cell r="V344">
            <v>1010928.84</v>
          </cell>
          <cell r="W344">
            <v>671653.09</v>
          </cell>
          <cell r="X344">
            <v>842696.67</v>
          </cell>
          <cell r="Y344">
            <v>1066034.9099999999</v>
          </cell>
          <cell r="Z344">
            <v>1196268.3899999999</v>
          </cell>
          <cell r="AA344">
            <v>846357.32</v>
          </cell>
          <cell r="AB344">
            <v>1550191.33</v>
          </cell>
          <cell r="AC344">
            <v>1846471.79</v>
          </cell>
          <cell r="AD344">
            <v>1665481.94</v>
          </cell>
          <cell r="AE344">
            <v>1768137.91</v>
          </cell>
          <cell r="AF344">
            <v>1890203.72</v>
          </cell>
          <cell r="AG344">
            <v>817696.9</v>
          </cell>
          <cell r="AH344">
            <v>451270.74</v>
          </cell>
          <cell r="AI344">
            <v>666141.99</v>
          </cell>
          <cell r="AJ344">
            <v>943907.39</v>
          </cell>
          <cell r="AK344">
            <v>1124178.3799999999</v>
          </cell>
          <cell r="AL344">
            <v>1893574.75</v>
          </cell>
          <cell r="AM344">
            <v>1455090.61</v>
          </cell>
          <cell r="AN344">
            <v>1676407.65</v>
          </cell>
          <cell r="AO344">
            <v>2030340.05</v>
          </cell>
          <cell r="AP344">
            <v>1185824.46</v>
          </cell>
          <cell r="AQ344">
            <v>1472993.61</v>
          </cell>
          <cell r="AR344">
            <v>1619962.16</v>
          </cell>
          <cell r="AS344">
            <v>1068540.05</v>
          </cell>
          <cell r="AT344">
            <v>915178.88</v>
          </cell>
          <cell r="AU344">
            <v>1208435.27</v>
          </cell>
          <cell r="AV344">
            <v>564156.92000000004</v>
          </cell>
          <cell r="AW344">
            <v>862127.45</v>
          </cell>
          <cell r="AX344">
            <v>1107738.21</v>
          </cell>
          <cell r="AY344">
            <v>1166609.79</v>
          </cell>
          <cell r="AZ344">
            <v>1715678.71</v>
          </cell>
          <cell r="BA344">
            <v>2142944.46</v>
          </cell>
          <cell r="BB344">
            <v>1123292.52</v>
          </cell>
          <cell r="BC344">
            <v>1235895.02</v>
          </cell>
          <cell r="BD344">
            <v>1742173.74</v>
          </cell>
          <cell r="BE344">
            <v>1049799.92</v>
          </cell>
          <cell r="BF344">
            <v>1272460.1100000001</v>
          </cell>
          <cell r="BG344">
            <v>1562003.94</v>
          </cell>
          <cell r="BH344">
            <v>760636.27</v>
          </cell>
          <cell r="BI344">
            <v>935108.73</v>
          </cell>
          <cell r="BJ344">
            <v>1188785.76</v>
          </cell>
          <cell r="BK344">
            <v>777880.49</v>
          </cell>
          <cell r="BL344">
            <v>1195217.6599999999</v>
          </cell>
          <cell r="BM344">
            <v>1451866.25</v>
          </cell>
          <cell r="BN344">
            <v>823643.62</v>
          </cell>
          <cell r="BO344">
            <v>1284772.3600000001</v>
          </cell>
          <cell r="BP344">
            <v>1701879.38</v>
          </cell>
          <cell r="BQ344">
            <v>1022397.48</v>
          </cell>
          <cell r="BR344">
            <v>1256931.8</v>
          </cell>
          <cell r="BS344">
            <v>1595861.92</v>
          </cell>
          <cell r="BT344">
            <v>1079865.1299999999</v>
          </cell>
          <cell r="BU344">
            <v>1299029.46</v>
          </cell>
          <cell r="BV344">
            <v>1496620.32</v>
          </cell>
          <cell r="BW344">
            <v>673250.97</v>
          </cell>
          <cell r="BX344">
            <v>902043.41</v>
          </cell>
          <cell r="BY344">
            <v>1028316.05</v>
          </cell>
          <cell r="BZ344">
            <v>832643.11</v>
          </cell>
          <cell r="CA344">
            <v>926542.53</v>
          </cell>
          <cell r="CB344">
            <v>1260989.77</v>
          </cell>
          <cell r="CC344">
            <v>1026254.93</v>
          </cell>
          <cell r="CD344">
            <v>1250596.3700000001</v>
          </cell>
          <cell r="CE344">
            <v>1439036.29</v>
          </cell>
          <cell r="CF344">
            <v>781252.78</v>
          </cell>
          <cell r="CG344">
            <v>1020483.08</v>
          </cell>
          <cell r="CH344">
            <v>1371276.5</v>
          </cell>
          <cell r="CI344">
            <v>841297.66</v>
          </cell>
          <cell r="CJ344">
            <v>1208345.97</v>
          </cell>
          <cell r="CK344">
            <v>1542480.94</v>
          </cell>
          <cell r="CL344">
            <v>1003468.87</v>
          </cell>
          <cell r="CM344">
            <v>1278830.19</v>
          </cell>
          <cell r="CN344">
            <v>612943.16</v>
          </cell>
          <cell r="CO344">
            <v>1003456.24</v>
          </cell>
          <cell r="CP344">
            <v>1274946.82</v>
          </cell>
          <cell r="CQ344">
            <v>1549067.57</v>
          </cell>
          <cell r="CR344">
            <v>892660.69</v>
          </cell>
          <cell r="CS344">
            <v>1188488.3400000001</v>
          </cell>
          <cell r="CT344">
            <v>1502236.12</v>
          </cell>
          <cell r="CU344">
            <v>868331.8</v>
          </cell>
          <cell r="CV344">
            <v>1027776.72</v>
          </cell>
          <cell r="CW344">
            <v>1172773.1200000001</v>
          </cell>
          <cell r="CX344">
            <v>679786.76</v>
          </cell>
          <cell r="CY344">
            <v>1153410.45</v>
          </cell>
          <cell r="CZ344">
            <v>538847.81999999995</v>
          </cell>
          <cell r="DA344">
            <v>814853.23</v>
          </cell>
          <cell r="DB344">
            <v>1037827.6</v>
          </cell>
          <cell r="DC344">
            <v>1474440.33</v>
          </cell>
          <cell r="DD344">
            <v>1006071.92</v>
          </cell>
          <cell r="DE344">
            <v>1343627.69</v>
          </cell>
          <cell r="DF344">
            <v>532971.34</v>
          </cell>
          <cell r="DG344">
            <v>833075.57</v>
          </cell>
          <cell r="DH344">
            <v>846204.52</v>
          </cell>
        </row>
        <row r="345">
          <cell r="A345" t="str">
            <v>131</v>
          </cell>
          <cell r="D345">
            <v>3261022.61</v>
          </cell>
          <cell r="E345">
            <v>2806551.35</v>
          </cell>
          <cell r="F345">
            <v>3356037.06</v>
          </cell>
          <cell r="G345">
            <v>4514670.32</v>
          </cell>
          <cell r="H345">
            <v>2388208.48</v>
          </cell>
          <cell r="I345">
            <v>16073285.109999999</v>
          </cell>
          <cell r="J345">
            <v>13138255.890000001</v>
          </cell>
          <cell r="K345">
            <v>6354559.8399999999</v>
          </cell>
          <cell r="L345">
            <v>2430610.34</v>
          </cell>
          <cell r="M345">
            <v>2828762.34</v>
          </cell>
          <cell r="N345">
            <v>1627965.07</v>
          </cell>
          <cell r="O345">
            <v>1098511.7</v>
          </cell>
          <cell r="P345">
            <v>3821070.95</v>
          </cell>
          <cell r="Q345">
            <v>2567121.35</v>
          </cell>
          <cell r="R345">
            <v>2312649.7400000002</v>
          </cell>
          <cell r="S345">
            <v>6645594.6100000003</v>
          </cell>
          <cell r="T345">
            <v>2355458.2400000002</v>
          </cell>
          <cell r="U345">
            <v>31675094.219999999</v>
          </cell>
          <cell r="V345">
            <v>22628186.5</v>
          </cell>
          <cell r="W345">
            <v>23994350.109999999</v>
          </cell>
          <cell r="X345">
            <v>26607939.260000002</v>
          </cell>
          <cell r="Y345">
            <v>25154667.09</v>
          </cell>
          <cell r="Z345">
            <v>22362853.399999999</v>
          </cell>
          <cell r="AA345">
            <v>3347331.95</v>
          </cell>
          <cell r="AB345">
            <v>4118324.53</v>
          </cell>
          <cell r="AC345">
            <v>3511064.95</v>
          </cell>
          <cell r="AD345">
            <v>3416433.77</v>
          </cell>
          <cell r="AE345">
            <v>20951906.539999999</v>
          </cell>
          <cell r="AF345">
            <v>1927296.07</v>
          </cell>
          <cell r="AG345">
            <v>3695520.15</v>
          </cell>
          <cell r="AH345">
            <v>3262585.6</v>
          </cell>
          <cell r="AI345">
            <v>3174255.71</v>
          </cell>
          <cell r="AJ345">
            <v>2896818.54</v>
          </cell>
          <cell r="AK345">
            <v>2234214.3199999998</v>
          </cell>
          <cell r="AL345">
            <v>3331068.09</v>
          </cell>
          <cell r="AM345">
            <v>2021583.2</v>
          </cell>
          <cell r="AN345">
            <v>2842485.05</v>
          </cell>
          <cell r="AO345">
            <v>-1311825.49</v>
          </cell>
          <cell r="AP345">
            <v>7683009.0700000003</v>
          </cell>
          <cell r="AQ345">
            <v>5527984.3600000003</v>
          </cell>
          <cell r="AR345">
            <v>10732318.5</v>
          </cell>
          <cell r="AS345">
            <v>13109002.23</v>
          </cell>
          <cell r="AT345">
            <v>7235219.3799999999</v>
          </cell>
          <cell r="AU345">
            <v>9454799.4100000001</v>
          </cell>
          <cell r="AV345">
            <v>3982944.33</v>
          </cell>
          <cell r="AW345">
            <v>9295592.0700000003</v>
          </cell>
          <cell r="AX345">
            <v>9556767.6699999999</v>
          </cell>
          <cell r="AY345">
            <v>9285506.0999999996</v>
          </cell>
          <cell r="AZ345">
            <v>9677349.0099999998</v>
          </cell>
          <cell r="BA345">
            <v>7688523.7599999998</v>
          </cell>
          <cell r="BB345">
            <v>10910228.689999999</v>
          </cell>
          <cell r="BC345">
            <v>8678584.9900000002</v>
          </cell>
          <cell r="BD345">
            <v>7205181.3399999999</v>
          </cell>
          <cell r="BE345">
            <v>9524512.1199999992</v>
          </cell>
          <cell r="BF345">
            <v>8981641</v>
          </cell>
          <cell r="BG345">
            <v>8637221.6300000008</v>
          </cell>
          <cell r="BH345">
            <v>9145004.0999999996</v>
          </cell>
          <cell r="BI345">
            <v>9419205.1999999993</v>
          </cell>
          <cell r="BJ345">
            <v>8961328.3399999999</v>
          </cell>
          <cell r="BK345">
            <v>8984919.9199999999</v>
          </cell>
          <cell r="BL345">
            <v>8481815.1899999995</v>
          </cell>
          <cell r="BM345">
            <v>9183223.9499999993</v>
          </cell>
          <cell r="BN345">
            <v>8750163.0500000007</v>
          </cell>
          <cell r="BO345">
            <v>8471541.6300000008</v>
          </cell>
          <cell r="BP345">
            <v>8031728.5499999998</v>
          </cell>
          <cell r="BQ345">
            <v>8438438.4800000004</v>
          </cell>
          <cell r="BR345">
            <v>8121366.25</v>
          </cell>
          <cell r="BS345">
            <v>7908716.2999999998</v>
          </cell>
          <cell r="BT345">
            <v>8508869.2799999993</v>
          </cell>
          <cell r="BU345">
            <v>8534657.2899999991</v>
          </cell>
          <cell r="BV345">
            <v>7780838.25</v>
          </cell>
          <cell r="BW345">
            <v>8085636.6500000004</v>
          </cell>
          <cell r="BX345">
            <v>8303869.29</v>
          </cell>
          <cell r="BY345">
            <v>7302515.8499999996</v>
          </cell>
          <cell r="BZ345">
            <v>8287915.9299999997</v>
          </cell>
          <cell r="CA345">
            <v>7325821.6299999999</v>
          </cell>
          <cell r="CB345">
            <v>8579091.9199999999</v>
          </cell>
          <cell r="CC345">
            <v>7939864.9500000002</v>
          </cell>
          <cell r="CD345">
            <v>9217290.4700000007</v>
          </cell>
          <cell r="CE345">
            <v>8748991.2899999991</v>
          </cell>
          <cell r="CF345">
            <v>9091189.6799999997</v>
          </cell>
          <cell r="CG345">
            <v>8693952.7699999996</v>
          </cell>
          <cell r="CH345">
            <v>7909424.8300000001</v>
          </cell>
          <cell r="CI345">
            <v>-2329290.65</v>
          </cell>
          <cell r="CJ345">
            <v>0</v>
          </cell>
          <cell r="CK345">
            <v>-2689748.93</v>
          </cell>
          <cell r="CL345">
            <v>-3162056.14</v>
          </cell>
          <cell r="CM345">
            <v>-11401523.470000001</v>
          </cell>
          <cell r="CN345">
            <v>-5509353.3399999999</v>
          </cell>
          <cell r="CO345">
            <v>-6460993.9800000004</v>
          </cell>
          <cell r="CP345">
            <v>-6949025.1900000004</v>
          </cell>
          <cell r="CQ345">
            <v>-7398453.6299999999</v>
          </cell>
          <cell r="CR345">
            <v>-8227617.71</v>
          </cell>
          <cell r="CS345">
            <v>-7765854.54</v>
          </cell>
          <cell r="CT345">
            <v>-7470361.7300000004</v>
          </cell>
          <cell r="CU345">
            <v>-7735389.3499999996</v>
          </cell>
          <cell r="CV345">
            <v>2104297.09</v>
          </cell>
          <cell r="CW345">
            <v>2421368.41</v>
          </cell>
          <cell r="CX345">
            <v>2914083.42</v>
          </cell>
          <cell r="CY345">
            <v>2916985.79</v>
          </cell>
          <cell r="CZ345">
            <v>3086251.3</v>
          </cell>
          <cell r="DA345">
            <v>3094260.34</v>
          </cell>
          <cell r="DB345">
            <v>3178444.07</v>
          </cell>
          <cell r="DC345">
            <v>3526586.13</v>
          </cell>
          <cell r="DD345">
            <v>3591647.84</v>
          </cell>
          <cell r="DE345">
            <v>3683845.44</v>
          </cell>
          <cell r="DF345">
            <v>4119330.2</v>
          </cell>
          <cell r="DG345">
            <v>3693147.69</v>
          </cell>
          <cell r="DH345">
            <v>3398831.22</v>
          </cell>
        </row>
        <row r="346">
          <cell r="A346" t="str">
            <v>134</v>
          </cell>
          <cell r="D346">
            <v>25000</v>
          </cell>
          <cell r="E346">
            <v>25000</v>
          </cell>
          <cell r="F346">
            <v>25000</v>
          </cell>
          <cell r="G346">
            <v>25000</v>
          </cell>
          <cell r="H346">
            <v>25000</v>
          </cell>
          <cell r="I346">
            <v>25000</v>
          </cell>
          <cell r="J346">
            <v>25000</v>
          </cell>
          <cell r="K346">
            <v>25000</v>
          </cell>
          <cell r="L346">
            <v>25000</v>
          </cell>
          <cell r="M346">
            <v>25000</v>
          </cell>
          <cell r="N346">
            <v>25000</v>
          </cell>
          <cell r="O346">
            <v>25000</v>
          </cell>
          <cell r="P346">
            <v>25000</v>
          </cell>
          <cell r="Q346">
            <v>25000</v>
          </cell>
          <cell r="R346">
            <v>25000</v>
          </cell>
          <cell r="S346">
            <v>25000</v>
          </cell>
          <cell r="T346">
            <v>25000</v>
          </cell>
          <cell r="U346">
            <v>25000</v>
          </cell>
          <cell r="V346">
            <v>25000</v>
          </cell>
          <cell r="W346">
            <v>25000</v>
          </cell>
          <cell r="X346">
            <v>25000</v>
          </cell>
          <cell r="Y346">
            <v>25000</v>
          </cell>
          <cell r="Z346">
            <v>25000</v>
          </cell>
          <cell r="AA346">
            <v>25000</v>
          </cell>
          <cell r="AB346">
            <v>25000</v>
          </cell>
          <cell r="AC346">
            <v>25000</v>
          </cell>
          <cell r="AD346">
            <v>25000</v>
          </cell>
          <cell r="AE346">
            <v>25000</v>
          </cell>
          <cell r="AF346">
            <v>25000</v>
          </cell>
          <cell r="AG346">
            <v>25000</v>
          </cell>
          <cell r="AH346">
            <v>25000</v>
          </cell>
          <cell r="AI346">
            <v>25000</v>
          </cell>
          <cell r="AJ346">
            <v>25000</v>
          </cell>
          <cell r="AK346">
            <v>25000</v>
          </cell>
          <cell r="AL346">
            <v>25000</v>
          </cell>
          <cell r="AM346">
            <v>25000</v>
          </cell>
          <cell r="AN346">
            <v>25000</v>
          </cell>
          <cell r="AO346">
            <v>25000</v>
          </cell>
          <cell r="AP346">
            <v>25000</v>
          </cell>
          <cell r="AQ346">
            <v>25000</v>
          </cell>
          <cell r="AR346">
            <v>25000</v>
          </cell>
          <cell r="AS346">
            <v>25000</v>
          </cell>
          <cell r="AT346">
            <v>25000</v>
          </cell>
          <cell r="AU346">
            <v>25000</v>
          </cell>
          <cell r="AV346">
            <v>25000</v>
          </cell>
          <cell r="AW346">
            <v>25000</v>
          </cell>
          <cell r="AX346">
            <v>25000</v>
          </cell>
          <cell r="AY346">
            <v>25000</v>
          </cell>
          <cell r="AZ346">
            <v>25000</v>
          </cell>
          <cell r="BA346">
            <v>25000</v>
          </cell>
          <cell r="BB346">
            <v>25000</v>
          </cell>
          <cell r="BC346">
            <v>25000</v>
          </cell>
          <cell r="BD346">
            <v>25000</v>
          </cell>
          <cell r="BE346">
            <v>25000</v>
          </cell>
          <cell r="BF346">
            <v>25000</v>
          </cell>
          <cell r="BG346">
            <v>25000</v>
          </cell>
          <cell r="BH346">
            <v>25000</v>
          </cell>
          <cell r="BI346">
            <v>25000</v>
          </cell>
          <cell r="BJ346">
            <v>25000</v>
          </cell>
          <cell r="BK346">
            <v>25000</v>
          </cell>
          <cell r="BL346">
            <v>25000</v>
          </cell>
          <cell r="BM346">
            <v>25000</v>
          </cell>
          <cell r="BN346">
            <v>25000</v>
          </cell>
          <cell r="BO346">
            <v>25000</v>
          </cell>
          <cell r="BP346">
            <v>25000</v>
          </cell>
          <cell r="BQ346">
            <v>25000</v>
          </cell>
          <cell r="BR346">
            <v>25000</v>
          </cell>
          <cell r="BS346">
            <v>25000</v>
          </cell>
          <cell r="BT346">
            <v>25000</v>
          </cell>
          <cell r="BU346">
            <v>25000</v>
          </cell>
          <cell r="BV346">
            <v>25000</v>
          </cell>
          <cell r="BW346">
            <v>25000</v>
          </cell>
          <cell r="BX346">
            <v>25000</v>
          </cell>
          <cell r="BY346">
            <v>25000</v>
          </cell>
          <cell r="BZ346">
            <v>25000</v>
          </cell>
          <cell r="CA346">
            <v>25000</v>
          </cell>
          <cell r="CB346">
            <v>25000</v>
          </cell>
          <cell r="CC346">
            <v>25000</v>
          </cell>
          <cell r="CD346">
            <v>25000</v>
          </cell>
          <cell r="CE346">
            <v>25000</v>
          </cell>
          <cell r="CF346">
            <v>25000</v>
          </cell>
          <cell r="CG346">
            <v>25000</v>
          </cell>
          <cell r="CH346">
            <v>25000</v>
          </cell>
          <cell r="CI346">
            <v>25000</v>
          </cell>
          <cell r="CJ346">
            <v>25000</v>
          </cell>
          <cell r="CK346">
            <v>25000</v>
          </cell>
          <cell r="CL346">
            <v>25000</v>
          </cell>
          <cell r="CM346">
            <v>25000</v>
          </cell>
          <cell r="CN346">
            <v>25000</v>
          </cell>
          <cell r="CO346">
            <v>25000</v>
          </cell>
          <cell r="CP346">
            <v>25000</v>
          </cell>
          <cell r="CQ346">
            <v>25000</v>
          </cell>
          <cell r="CR346">
            <v>25000</v>
          </cell>
          <cell r="CS346">
            <v>25000</v>
          </cell>
          <cell r="CT346">
            <v>25000</v>
          </cell>
          <cell r="CU346">
            <v>25000</v>
          </cell>
          <cell r="CV346">
            <v>25000</v>
          </cell>
          <cell r="CW346">
            <v>25000</v>
          </cell>
          <cell r="CX346">
            <v>25000</v>
          </cell>
          <cell r="CY346">
            <v>25000</v>
          </cell>
          <cell r="CZ346">
            <v>25000</v>
          </cell>
          <cell r="DA346">
            <v>25000</v>
          </cell>
          <cell r="DB346">
            <v>25000</v>
          </cell>
          <cell r="DC346">
            <v>25000</v>
          </cell>
          <cell r="DD346">
            <v>25000</v>
          </cell>
          <cell r="DE346">
            <v>25000</v>
          </cell>
          <cell r="DF346">
            <v>25000</v>
          </cell>
          <cell r="DG346">
            <v>25000</v>
          </cell>
          <cell r="DH346">
            <v>25000</v>
          </cell>
        </row>
        <row r="347">
          <cell r="A347" t="str">
            <v>135</v>
          </cell>
          <cell r="D347">
            <v>3500</v>
          </cell>
          <cell r="E347">
            <v>3500</v>
          </cell>
          <cell r="F347">
            <v>3500</v>
          </cell>
          <cell r="G347">
            <v>3500</v>
          </cell>
          <cell r="H347">
            <v>3500</v>
          </cell>
          <cell r="I347">
            <v>3500</v>
          </cell>
          <cell r="J347">
            <v>3500</v>
          </cell>
          <cell r="K347">
            <v>3450</v>
          </cell>
          <cell r="L347">
            <v>3450</v>
          </cell>
          <cell r="M347">
            <v>3450</v>
          </cell>
          <cell r="N347">
            <v>3450</v>
          </cell>
          <cell r="O347">
            <v>3450</v>
          </cell>
          <cell r="P347">
            <v>3450</v>
          </cell>
          <cell r="Q347">
            <v>3450</v>
          </cell>
          <cell r="R347">
            <v>3450</v>
          </cell>
          <cell r="S347">
            <v>3450</v>
          </cell>
          <cell r="T347">
            <v>3450</v>
          </cell>
          <cell r="U347">
            <v>2950</v>
          </cell>
          <cell r="V347">
            <v>2950</v>
          </cell>
          <cell r="W347">
            <v>2950</v>
          </cell>
          <cell r="X347">
            <v>2950</v>
          </cell>
          <cell r="Y347">
            <v>2950</v>
          </cell>
          <cell r="Z347">
            <v>2950</v>
          </cell>
          <cell r="AA347">
            <v>2950</v>
          </cell>
          <cell r="AB347">
            <v>2950</v>
          </cell>
          <cell r="AC347">
            <v>2950</v>
          </cell>
          <cell r="AD347">
            <v>2950</v>
          </cell>
          <cell r="AE347">
            <v>2950</v>
          </cell>
          <cell r="AF347">
            <v>2950</v>
          </cell>
          <cell r="AG347">
            <v>2950</v>
          </cell>
          <cell r="AH347">
            <v>2950</v>
          </cell>
          <cell r="AI347">
            <v>2950</v>
          </cell>
          <cell r="AJ347">
            <v>2950</v>
          </cell>
          <cell r="AK347">
            <v>3450</v>
          </cell>
          <cell r="AL347">
            <v>3450</v>
          </cell>
          <cell r="AM347">
            <v>2950</v>
          </cell>
          <cell r="AN347">
            <v>2950</v>
          </cell>
          <cell r="AO347">
            <v>2950</v>
          </cell>
          <cell r="AP347">
            <v>2950</v>
          </cell>
          <cell r="AQ347">
            <v>2950</v>
          </cell>
          <cell r="AR347">
            <v>2950</v>
          </cell>
          <cell r="AS347">
            <v>2950</v>
          </cell>
          <cell r="AT347">
            <v>2950</v>
          </cell>
          <cell r="AU347">
            <v>2950</v>
          </cell>
          <cell r="AV347">
            <v>2950</v>
          </cell>
          <cell r="AW347">
            <v>2950</v>
          </cell>
          <cell r="AX347">
            <v>2950</v>
          </cell>
          <cell r="AY347">
            <v>2950</v>
          </cell>
          <cell r="AZ347">
            <v>2950</v>
          </cell>
          <cell r="BA347">
            <v>2950</v>
          </cell>
          <cell r="BB347">
            <v>2950</v>
          </cell>
          <cell r="BC347">
            <v>2950</v>
          </cell>
          <cell r="BD347">
            <v>2950</v>
          </cell>
          <cell r="BE347">
            <v>2950</v>
          </cell>
          <cell r="BF347">
            <v>2950</v>
          </cell>
          <cell r="BG347">
            <v>2950</v>
          </cell>
          <cell r="BH347">
            <v>2950</v>
          </cell>
          <cell r="BI347">
            <v>2950</v>
          </cell>
          <cell r="BJ347">
            <v>2950</v>
          </cell>
          <cell r="BK347">
            <v>2950</v>
          </cell>
          <cell r="BL347">
            <v>2950</v>
          </cell>
          <cell r="BM347">
            <v>2950</v>
          </cell>
          <cell r="BN347">
            <v>2950</v>
          </cell>
          <cell r="BO347">
            <v>2950</v>
          </cell>
          <cell r="BP347">
            <v>2950</v>
          </cell>
          <cell r="BQ347">
            <v>2950</v>
          </cell>
          <cell r="BR347">
            <v>2950</v>
          </cell>
          <cell r="BS347">
            <v>2950</v>
          </cell>
          <cell r="BT347">
            <v>2950</v>
          </cell>
          <cell r="BU347">
            <v>2950</v>
          </cell>
          <cell r="BV347">
            <v>2950</v>
          </cell>
          <cell r="BW347">
            <v>2950</v>
          </cell>
          <cell r="BX347">
            <v>2950</v>
          </cell>
          <cell r="BY347">
            <v>2950</v>
          </cell>
          <cell r="BZ347">
            <v>2950</v>
          </cell>
          <cell r="CA347">
            <v>2950</v>
          </cell>
          <cell r="CB347">
            <v>2950</v>
          </cell>
          <cell r="CC347">
            <v>2950</v>
          </cell>
          <cell r="CD347">
            <v>2950</v>
          </cell>
          <cell r="CE347">
            <v>2950</v>
          </cell>
          <cell r="CF347">
            <v>2950</v>
          </cell>
          <cell r="CG347">
            <v>2950</v>
          </cell>
          <cell r="CH347">
            <v>2950</v>
          </cell>
          <cell r="CI347">
            <v>2950</v>
          </cell>
          <cell r="CJ347">
            <v>2950</v>
          </cell>
          <cell r="CK347">
            <v>2950</v>
          </cell>
          <cell r="CL347">
            <v>2950</v>
          </cell>
          <cell r="CM347">
            <v>2950</v>
          </cell>
          <cell r="CN347">
            <v>2950</v>
          </cell>
          <cell r="CO347">
            <v>2950</v>
          </cell>
          <cell r="CP347">
            <v>2950</v>
          </cell>
          <cell r="CQ347">
            <v>2950</v>
          </cell>
          <cell r="CR347">
            <v>2950</v>
          </cell>
          <cell r="CS347">
            <v>2950</v>
          </cell>
          <cell r="CT347">
            <v>2950</v>
          </cell>
          <cell r="CU347">
            <v>2950</v>
          </cell>
          <cell r="CV347">
            <v>2950</v>
          </cell>
          <cell r="CW347">
            <v>2950</v>
          </cell>
          <cell r="CX347">
            <v>2950</v>
          </cell>
          <cell r="CY347">
            <v>2950</v>
          </cell>
          <cell r="CZ347">
            <v>2950</v>
          </cell>
          <cell r="DA347">
            <v>2950</v>
          </cell>
          <cell r="DB347">
            <v>2950</v>
          </cell>
          <cell r="DC347">
            <v>2950</v>
          </cell>
          <cell r="DD347">
            <v>2950</v>
          </cell>
          <cell r="DE347">
            <v>2950</v>
          </cell>
          <cell r="DF347">
            <v>2950</v>
          </cell>
          <cell r="DG347">
            <v>2950</v>
          </cell>
          <cell r="DH347">
            <v>2950</v>
          </cell>
        </row>
        <row r="348">
          <cell r="A348" t="str">
            <v>136</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row>
        <row r="349">
          <cell r="A349" t="str">
            <v>142</v>
          </cell>
          <cell r="D349">
            <v>22917004.77</v>
          </cell>
          <cell r="E349">
            <v>33888239.469999999</v>
          </cell>
          <cell r="F349">
            <v>34564177.649999999</v>
          </cell>
          <cell r="G349">
            <v>30784053.600000001</v>
          </cell>
          <cell r="H349">
            <v>29663927.84</v>
          </cell>
          <cell r="I349">
            <v>22479626.829999998</v>
          </cell>
          <cell r="J349">
            <v>22504133.27</v>
          </cell>
          <cell r="K349">
            <v>23241237.09</v>
          </cell>
          <cell r="L349">
            <v>23878463.870000001</v>
          </cell>
          <cell r="M349">
            <v>22321098.780000001</v>
          </cell>
          <cell r="N349">
            <v>22099793.280000001</v>
          </cell>
          <cell r="O349">
            <v>26323347.600000001</v>
          </cell>
          <cell r="P349">
            <v>26034826.32</v>
          </cell>
          <cell r="Q349">
            <v>32187526.920000002</v>
          </cell>
          <cell r="R349">
            <v>34039835.079999998</v>
          </cell>
          <cell r="S349">
            <v>29541354.100000001</v>
          </cell>
          <cell r="T349">
            <v>28240355.52</v>
          </cell>
          <cell r="U349">
            <v>23565407.48</v>
          </cell>
          <cell r="V349">
            <v>24075458.02</v>
          </cell>
          <cell r="W349">
            <v>21417409.149999999</v>
          </cell>
          <cell r="X349">
            <v>24298849.940000001</v>
          </cell>
          <cell r="Y349">
            <v>23816258.93</v>
          </cell>
          <cell r="Z349">
            <v>23772059.039999999</v>
          </cell>
          <cell r="AA349">
            <v>26518734.390000001</v>
          </cell>
          <cell r="AB349">
            <v>23370304.82</v>
          </cell>
          <cell r="AC349">
            <v>31850535.170000002</v>
          </cell>
          <cell r="AD349">
            <v>33660304.32</v>
          </cell>
          <cell r="AE349">
            <v>27396780.07</v>
          </cell>
          <cell r="AF349">
            <v>26991418.98</v>
          </cell>
          <cell r="AG349">
            <v>25680472.5</v>
          </cell>
          <cell r="AH349">
            <v>25214431.510000002</v>
          </cell>
          <cell r="AI349">
            <v>27415095.079999998</v>
          </cell>
          <cell r="AJ349">
            <v>23394824.629999999</v>
          </cell>
          <cell r="AK349">
            <v>21229562.68</v>
          </cell>
          <cell r="AL349">
            <v>22666835.920000002</v>
          </cell>
          <cell r="AM349">
            <v>17869442.899999999</v>
          </cell>
          <cell r="AN349">
            <v>20407143.399999999</v>
          </cell>
          <cell r="AO349">
            <v>29988883.34</v>
          </cell>
          <cell r="AP349">
            <v>30496228.98</v>
          </cell>
          <cell r="AQ349">
            <v>25425348.940000001</v>
          </cell>
          <cell r="AR349">
            <v>29266124.25</v>
          </cell>
          <cell r="AS349">
            <v>26763987.870000001</v>
          </cell>
          <cell r="AT349">
            <v>23778388.969999999</v>
          </cell>
          <cell r="AU349">
            <v>24866772.41</v>
          </cell>
          <cell r="AV349">
            <v>19382730.989999998</v>
          </cell>
          <cell r="AW349">
            <v>26222134.059999999</v>
          </cell>
          <cell r="AX349">
            <v>21363062.82</v>
          </cell>
          <cell r="AY349">
            <v>23526603.07</v>
          </cell>
          <cell r="AZ349">
            <v>29589589.309999999</v>
          </cell>
          <cell r="BA349">
            <v>39142637.479999997</v>
          </cell>
          <cell r="BB349">
            <v>33520126.620000001</v>
          </cell>
          <cell r="BC349">
            <v>28369965.609999999</v>
          </cell>
          <cell r="BD349">
            <v>30347437.300000001</v>
          </cell>
          <cell r="BE349">
            <v>26461489.609999999</v>
          </cell>
          <cell r="BF349">
            <v>26323048.57</v>
          </cell>
          <cell r="BG349">
            <v>27677789.359999999</v>
          </cell>
          <cell r="BH349">
            <v>22422804.370000001</v>
          </cell>
          <cell r="BI349">
            <v>26981163.199999999</v>
          </cell>
          <cell r="BJ349">
            <v>25315728.010000002</v>
          </cell>
          <cell r="BK349">
            <v>24158601.609999999</v>
          </cell>
          <cell r="BL349">
            <v>29542589.260000002</v>
          </cell>
          <cell r="BM349">
            <v>32582158.719999999</v>
          </cell>
          <cell r="BN349">
            <v>32195813.649999999</v>
          </cell>
          <cell r="BO349">
            <v>29074433.710000001</v>
          </cell>
          <cell r="BP349">
            <v>27185463.84</v>
          </cell>
          <cell r="BQ349">
            <v>25642351.34</v>
          </cell>
          <cell r="BR349">
            <v>23881225.350000001</v>
          </cell>
          <cell r="BS349">
            <v>21407370.66</v>
          </cell>
          <cell r="BT349">
            <v>20163176.579999998</v>
          </cell>
          <cell r="BU349">
            <v>23570156.899999999</v>
          </cell>
          <cell r="BV349">
            <v>20921762.350000001</v>
          </cell>
          <cell r="BW349">
            <v>25051047.789999999</v>
          </cell>
          <cell r="BX349">
            <v>28445716.460000001</v>
          </cell>
          <cell r="BY349">
            <v>33690965.270000003</v>
          </cell>
          <cell r="BZ349">
            <v>31434966.370000001</v>
          </cell>
          <cell r="CA349">
            <v>28960246.870000001</v>
          </cell>
          <cell r="CB349">
            <v>25442431.469999999</v>
          </cell>
          <cell r="CC349">
            <v>24859606.969999999</v>
          </cell>
          <cell r="CD349">
            <v>24328612.75</v>
          </cell>
          <cell r="CE349">
            <v>22554225.649999999</v>
          </cell>
          <cell r="CF349">
            <v>22331643.629999999</v>
          </cell>
          <cell r="CG349">
            <v>23076572.399999999</v>
          </cell>
          <cell r="CH349">
            <v>21627940.539999999</v>
          </cell>
          <cell r="CI349">
            <v>25437275.010000002</v>
          </cell>
          <cell r="CJ349">
            <v>29061274.129999999</v>
          </cell>
          <cell r="CK349">
            <v>41434704.340000004</v>
          </cell>
          <cell r="CL349">
            <v>43191845.93</v>
          </cell>
          <cell r="CM349">
            <v>37311112.030000001</v>
          </cell>
          <cell r="CN349">
            <v>33050040.489999998</v>
          </cell>
          <cell r="CO349">
            <v>31383893.140000001</v>
          </cell>
          <cell r="CP349">
            <v>28707721.800000001</v>
          </cell>
          <cell r="CQ349">
            <v>28842329.620000001</v>
          </cell>
          <cell r="CR349">
            <v>27207266.440000001</v>
          </cell>
          <cell r="CS349">
            <v>28836682.52</v>
          </cell>
          <cell r="CT349">
            <v>30680668.960000001</v>
          </cell>
          <cell r="CU349">
            <v>29358886.93</v>
          </cell>
          <cell r="CV349">
            <v>34889403.490000002</v>
          </cell>
          <cell r="CW349">
            <v>46802984</v>
          </cell>
          <cell r="CX349">
            <v>51862174.68</v>
          </cell>
          <cell r="CY349">
            <v>42268944.789999999</v>
          </cell>
          <cell r="CZ349">
            <v>40632814.960000001</v>
          </cell>
          <cell r="DA349">
            <v>41650049.289999999</v>
          </cell>
          <cell r="DB349">
            <v>37929803</v>
          </cell>
          <cell r="DC349">
            <v>40669428.009999998</v>
          </cell>
          <cell r="DD349">
            <v>36887532.149999999</v>
          </cell>
          <cell r="DE349">
            <v>36611247.780000001</v>
          </cell>
          <cell r="DF349">
            <v>34676257.579999998</v>
          </cell>
          <cell r="DG349">
            <v>32838622.920000002</v>
          </cell>
          <cell r="DH349">
            <v>37678297.049999997</v>
          </cell>
        </row>
        <row r="350">
          <cell r="A350" t="str">
            <v>143</v>
          </cell>
          <cell r="D350">
            <v>6933410.6600000001</v>
          </cell>
          <cell r="E350">
            <v>5883486.5499999998</v>
          </cell>
          <cell r="F350">
            <v>5824437.5899999999</v>
          </cell>
          <cell r="G350">
            <v>5777857.2000000002</v>
          </cell>
          <cell r="H350">
            <v>5772900.4299999997</v>
          </cell>
          <cell r="I350">
            <v>5646484.5599999996</v>
          </cell>
          <cell r="J350">
            <v>5532771.5999999996</v>
          </cell>
          <cell r="K350">
            <v>5652063.2800000003</v>
          </cell>
          <cell r="L350">
            <v>5324765.95</v>
          </cell>
          <cell r="M350">
            <v>5334747.5999999996</v>
          </cell>
          <cell r="N350">
            <v>5311839.84</v>
          </cell>
          <cell r="O350">
            <v>5376119.1200000001</v>
          </cell>
          <cell r="P350">
            <v>15706678.98</v>
          </cell>
          <cell r="Q350">
            <v>5800966.4000000004</v>
          </cell>
          <cell r="R350">
            <v>5900607.79</v>
          </cell>
          <cell r="S350">
            <v>5914383.7000000002</v>
          </cell>
          <cell r="T350">
            <v>5959177.7000000002</v>
          </cell>
          <cell r="U350">
            <v>6361034.1299999999</v>
          </cell>
          <cell r="V350">
            <v>6176915.6100000003</v>
          </cell>
          <cell r="W350">
            <v>6986829.8200000003</v>
          </cell>
          <cell r="X350">
            <v>6080720.6100000003</v>
          </cell>
          <cell r="Y350">
            <v>6232480.0300000003</v>
          </cell>
          <cell r="Z350">
            <v>6271078.3600000003</v>
          </cell>
          <cell r="AA350">
            <v>6205664.9800000004</v>
          </cell>
          <cell r="AB350">
            <v>20173951.489999998</v>
          </cell>
          <cell r="AC350">
            <v>6357385.4199999999</v>
          </cell>
          <cell r="AD350">
            <v>6817736.8700000001</v>
          </cell>
          <cell r="AE350">
            <v>6504847.0300000003</v>
          </cell>
          <cell r="AF350">
            <v>6589860.0700000003</v>
          </cell>
          <cell r="AG350">
            <v>6565581.7800000003</v>
          </cell>
          <cell r="AH350">
            <v>6303047.5599999996</v>
          </cell>
          <cell r="AI350">
            <v>6635591.2699999996</v>
          </cell>
          <cell r="AJ350">
            <v>6625883.5199999996</v>
          </cell>
          <cell r="AK350">
            <v>7369022.1500000004</v>
          </cell>
          <cell r="AL350">
            <v>6447692.0300000003</v>
          </cell>
          <cell r="AM350">
            <v>6572206.3200000003</v>
          </cell>
          <cell r="AN350">
            <v>7886631.79</v>
          </cell>
          <cell r="AO350">
            <v>6087617.1100000003</v>
          </cell>
          <cell r="AP350">
            <v>6172022.8300000001</v>
          </cell>
          <cell r="AQ350">
            <v>6196462.5899999999</v>
          </cell>
          <cell r="AR350">
            <v>5795704.7199999997</v>
          </cell>
          <cell r="AS350">
            <v>6018720.0700000003</v>
          </cell>
          <cell r="AT350">
            <v>5669492.2199999997</v>
          </cell>
          <cell r="AU350">
            <v>5125177.49</v>
          </cell>
          <cell r="AV350">
            <v>4739086.07</v>
          </cell>
          <cell r="AW350">
            <v>4631835.16</v>
          </cell>
          <cell r="AX350">
            <v>4457602.3</v>
          </cell>
          <cell r="AY350">
            <v>4244813.99</v>
          </cell>
          <cell r="AZ350">
            <v>4383604.59</v>
          </cell>
          <cell r="BA350">
            <v>4161462.67</v>
          </cell>
          <cell r="BB350">
            <v>3979331.42</v>
          </cell>
          <cell r="BC350">
            <v>3806110.35</v>
          </cell>
          <cell r="BD350">
            <v>3613904.27</v>
          </cell>
          <cell r="BE350">
            <v>3896226.97</v>
          </cell>
          <cell r="BF350">
            <v>3557213.27</v>
          </cell>
          <cell r="BG350">
            <v>3186267.09</v>
          </cell>
          <cell r="BH350">
            <v>3210920.2</v>
          </cell>
          <cell r="BI350">
            <v>2980073.78</v>
          </cell>
          <cell r="BJ350">
            <v>2806906.94</v>
          </cell>
          <cell r="BK350">
            <v>2450891.77</v>
          </cell>
          <cell r="BL350">
            <v>2653972.5299999998</v>
          </cell>
          <cell r="BM350">
            <v>2331802.9900000002</v>
          </cell>
          <cell r="BN350">
            <v>2227547.2999999998</v>
          </cell>
          <cell r="BO350">
            <v>1943320.21</v>
          </cell>
          <cell r="BP350">
            <v>1737126.09</v>
          </cell>
          <cell r="BQ350">
            <v>1704747.41</v>
          </cell>
          <cell r="BR350">
            <v>1711318.94</v>
          </cell>
          <cell r="BS350">
            <v>1624263.64</v>
          </cell>
          <cell r="BT350">
            <v>1471182.85</v>
          </cell>
          <cell r="BU350">
            <v>1369292.52</v>
          </cell>
          <cell r="BV350">
            <v>1167125.04</v>
          </cell>
          <cell r="BW350">
            <v>1141355.3400000001</v>
          </cell>
          <cell r="BX350">
            <v>1394531.22</v>
          </cell>
          <cell r="BY350">
            <v>1189570.49</v>
          </cell>
          <cell r="BZ350">
            <v>1177170.6399999999</v>
          </cell>
          <cell r="CA350">
            <v>1427785.95</v>
          </cell>
          <cell r="CB350">
            <v>1303718.8999999999</v>
          </cell>
          <cell r="CC350">
            <v>1513595.07</v>
          </cell>
          <cell r="CD350">
            <v>1657453.27</v>
          </cell>
          <cell r="CE350">
            <v>1666523.77</v>
          </cell>
          <cell r="CF350">
            <v>1315232.72</v>
          </cell>
          <cell r="CG350">
            <v>1134164.28</v>
          </cell>
          <cell r="CH350">
            <v>513325.58</v>
          </cell>
          <cell r="CI350">
            <v>1398217.09</v>
          </cell>
          <cell r="CJ350">
            <v>621522.71</v>
          </cell>
          <cell r="CK350">
            <v>258848.95</v>
          </cell>
          <cell r="CL350">
            <v>339721.93</v>
          </cell>
          <cell r="CM350">
            <v>248664.7</v>
          </cell>
          <cell r="CN350">
            <v>380073.17</v>
          </cell>
          <cell r="CO350">
            <v>367847.02</v>
          </cell>
          <cell r="CP350">
            <v>311076.01</v>
          </cell>
          <cell r="CQ350">
            <v>413518.29</v>
          </cell>
          <cell r="CR350">
            <v>490886.63</v>
          </cell>
          <cell r="CS350">
            <v>621241.31999999995</v>
          </cell>
          <cell r="CT350">
            <v>403068.56</v>
          </cell>
          <cell r="CU350">
            <v>425065.36</v>
          </cell>
          <cell r="CV350">
            <v>4473619.8099999996</v>
          </cell>
          <cell r="CW350">
            <v>334653.99</v>
          </cell>
          <cell r="CX350">
            <v>639108.68999999994</v>
          </cell>
          <cell r="CY350">
            <v>446418.19</v>
          </cell>
          <cell r="CZ350">
            <v>467664.16</v>
          </cell>
          <cell r="DA350">
            <v>549196.46</v>
          </cell>
          <cell r="DB350">
            <v>1602836.05</v>
          </cell>
          <cell r="DC350">
            <v>3601357.07</v>
          </cell>
          <cell r="DD350">
            <v>706081.62</v>
          </cell>
          <cell r="DE350">
            <v>2131383</v>
          </cell>
          <cell r="DF350">
            <v>1460709.73</v>
          </cell>
          <cell r="DG350">
            <v>2753147.72</v>
          </cell>
          <cell r="DH350">
            <v>1528487.38</v>
          </cell>
        </row>
        <row r="351">
          <cell r="A351" t="str">
            <v>144</v>
          </cell>
          <cell r="D351">
            <v>-731329.09</v>
          </cell>
          <cell r="E351">
            <v>-782748.28</v>
          </cell>
          <cell r="F351">
            <v>-917716.05</v>
          </cell>
          <cell r="G351">
            <v>-957279.1</v>
          </cell>
          <cell r="H351">
            <v>-935207.56</v>
          </cell>
          <cell r="I351">
            <v>-856777.71</v>
          </cell>
          <cell r="J351">
            <v>-816528.2</v>
          </cell>
          <cell r="K351">
            <v>-794094.56</v>
          </cell>
          <cell r="L351">
            <v>-747608.48</v>
          </cell>
          <cell r="M351">
            <v>-725358.9</v>
          </cell>
          <cell r="N351">
            <v>-695536.87</v>
          </cell>
          <cell r="O351">
            <v>-707430.92</v>
          </cell>
          <cell r="P351">
            <v>-716180.51</v>
          </cell>
          <cell r="Q351">
            <v>-764563.98</v>
          </cell>
          <cell r="R351">
            <v>-833682.14</v>
          </cell>
          <cell r="S351">
            <v>-866987.2</v>
          </cell>
          <cell r="T351">
            <v>-866890.19</v>
          </cell>
          <cell r="U351">
            <v>-848576.7</v>
          </cell>
          <cell r="V351">
            <v>-848491.47</v>
          </cell>
          <cell r="W351">
            <v>-838881.91</v>
          </cell>
          <cell r="X351">
            <v>-842812.73</v>
          </cell>
          <cell r="Y351">
            <v>-837646</v>
          </cell>
          <cell r="Z351">
            <v>-838111.69</v>
          </cell>
          <cell r="AA351">
            <v>-847212.74</v>
          </cell>
          <cell r="AB351">
            <v>-849690.38</v>
          </cell>
          <cell r="AC351">
            <v>-887536.24</v>
          </cell>
          <cell r="AD351">
            <v>-944535.58</v>
          </cell>
          <cell r="AE351">
            <v>-956846.5</v>
          </cell>
          <cell r="AF351">
            <v>-941985.09</v>
          </cell>
          <cell r="AG351">
            <v>-940287.95</v>
          </cell>
          <cell r="AH351">
            <v>-903512.59</v>
          </cell>
          <cell r="AI351">
            <v>-849498.54</v>
          </cell>
          <cell r="AJ351">
            <v>-845093.79</v>
          </cell>
          <cell r="AK351">
            <v>-801433.25</v>
          </cell>
          <cell r="AL351">
            <v>-783650.76</v>
          </cell>
          <cell r="AM351">
            <v>-787925.3</v>
          </cell>
          <cell r="AN351">
            <v>-113418.5</v>
          </cell>
          <cell r="AO351">
            <v>-207044.19</v>
          </cell>
          <cell r="AP351">
            <v>-288993.48</v>
          </cell>
          <cell r="AQ351">
            <v>-453047.41</v>
          </cell>
          <cell r="AR351">
            <v>-288871.28999999998</v>
          </cell>
          <cell r="AS351">
            <v>-310800.03999999998</v>
          </cell>
          <cell r="AT351">
            <v>-222271.28</v>
          </cell>
          <cell r="AU351">
            <v>-283591.84000000003</v>
          </cell>
          <cell r="AV351">
            <v>-271504.96000000002</v>
          </cell>
          <cell r="AW351">
            <v>-260755.54</v>
          </cell>
          <cell r="AX351">
            <v>-259628.15</v>
          </cell>
          <cell r="AY351">
            <v>-275756.57</v>
          </cell>
          <cell r="AZ351">
            <v>-302186.99</v>
          </cell>
          <cell r="BA351">
            <v>-382590.6</v>
          </cell>
          <cell r="BB351">
            <v>-281097.52</v>
          </cell>
          <cell r="BC351">
            <v>-251701.7</v>
          </cell>
          <cell r="BD351">
            <v>-213849.52</v>
          </cell>
          <cell r="BE351">
            <v>-201884.92</v>
          </cell>
          <cell r="BF351">
            <v>-195494.82</v>
          </cell>
          <cell r="BG351">
            <v>-201995.58</v>
          </cell>
          <cell r="BH351">
            <v>-221122.53</v>
          </cell>
          <cell r="BI351">
            <v>-220732.07</v>
          </cell>
          <cell r="BJ351">
            <v>-205020.84</v>
          </cell>
          <cell r="BK351">
            <v>-208157.12</v>
          </cell>
          <cell r="BL351">
            <v>-248774.45</v>
          </cell>
          <cell r="BM351">
            <v>-268023.42</v>
          </cell>
          <cell r="BN351">
            <v>-261911.67</v>
          </cell>
          <cell r="BO351">
            <v>-260675.28</v>
          </cell>
          <cell r="BP351">
            <v>-260922.33</v>
          </cell>
          <cell r="BQ351">
            <v>-252489.89</v>
          </cell>
          <cell r="BR351">
            <v>-230230.67</v>
          </cell>
          <cell r="BS351">
            <v>-41515.67</v>
          </cell>
          <cell r="BT351">
            <v>-32340.85</v>
          </cell>
          <cell r="BU351">
            <v>1257.83</v>
          </cell>
          <cell r="BV351">
            <v>-14360.6</v>
          </cell>
          <cell r="BW351">
            <v>-32957.22</v>
          </cell>
          <cell r="BX351">
            <v>-36809.25</v>
          </cell>
          <cell r="BY351">
            <v>-59079.53</v>
          </cell>
          <cell r="BZ351">
            <v>-25686.27</v>
          </cell>
          <cell r="CA351">
            <v>-207873.18</v>
          </cell>
          <cell r="CB351">
            <v>-452784.82</v>
          </cell>
          <cell r="CC351">
            <v>-804530.58</v>
          </cell>
          <cell r="CD351">
            <v>-1102637.56</v>
          </cell>
          <cell r="CE351">
            <v>-1311633.3799999999</v>
          </cell>
          <cell r="CF351">
            <v>-1549808.38</v>
          </cell>
          <cell r="CG351">
            <v>-1725016.56</v>
          </cell>
          <cell r="CH351">
            <v>-1516639.96</v>
          </cell>
          <cell r="CI351">
            <v>-1648035.37</v>
          </cell>
          <cell r="CJ351">
            <v>-1047188.69</v>
          </cell>
          <cell r="CK351">
            <v>-1240201.96</v>
          </cell>
          <cell r="CL351">
            <v>-1410587.62</v>
          </cell>
          <cell r="CM351">
            <v>-1088199.1000000001</v>
          </cell>
          <cell r="CN351">
            <v>-1175985.28</v>
          </cell>
          <cell r="CO351">
            <v>-1250565.3600000001</v>
          </cell>
          <cell r="CP351">
            <v>-1225441.08</v>
          </cell>
          <cell r="CQ351">
            <v>-1256982.07</v>
          </cell>
          <cell r="CR351">
            <v>-1305700.52</v>
          </cell>
          <cell r="CS351">
            <v>-1353847.6</v>
          </cell>
          <cell r="CT351">
            <v>-1419739.68</v>
          </cell>
          <cell r="CU351">
            <v>-1392489.63</v>
          </cell>
          <cell r="CV351">
            <v>-1399521.73</v>
          </cell>
          <cell r="CW351">
            <v>-1454324.2</v>
          </cell>
          <cell r="CX351">
            <v>-1452668.41</v>
          </cell>
          <cell r="CY351">
            <v>-1468639.55</v>
          </cell>
          <cell r="CZ351">
            <v>-1385693.53</v>
          </cell>
          <cell r="DA351">
            <v>-1400061.24</v>
          </cell>
          <cell r="DB351">
            <v>-1421281.36</v>
          </cell>
          <cell r="DC351">
            <v>-1418467.37</v>
          </cell>
          <cell r="DD351">
            <v>-1499461.13</v>
          </cell>
          <cell r="DE351">
            <v>-1499789.83</v>
          </cell>
          <cell r="DF351">
            <v>-1499667.41</v>
          </cell>
          <cell r="DG351">
            <v>-1403566.05</v>
          </cell>
          <cell r="DH351">
            <v>-888664.99</v>
          </cell>
        </row>
        <row r="352">
          <cell r="A352" t="str">
            <v>145</v>
          </cell>
          <cell r="D352">
            <v>0</v>
          </cell>
          <cell r="E352">
            <v>0</v>
          </cell>
          <cell r="F352">
            <v>0</v>
          </cell>
          <cell r="G352">
            <v>1500000</v>
          </cell>
          <cell r="H352">
            <v>0</v>
          </cell>
          <cell r="I352">
            <v>0</v>
          </cell>
          <cell r="J352">
            <v>0</v>
          </cell>
          <cell r="K352">
            <v>0</v>
          </cell>
          <cell r="L352">
            <v>0</v>
          </cell>
          <cell r="M352">
            <v>0</v>
          </cell>
          <cell r="N352">
            <v>0</v>
          </cell>
          <cell r="O352">
            <v>0</v>
          </cell>
          <cell r="P352">
            <v>0</v>
          </cell>
          <cell r="Q352">
            <v>0</v>
          </cell>
          <cell r="R352">
            <v>0</v>
          </cell>
          <cell r="S352">
            <v>4600000</v>
          </cell>
          <cell r="T352">
            <v>10450000</v>
          </cell>
          <cell r="U352">
            <v>0</v>
          </cell>
          <cell r="V352">
            <v>0</v>
          </cell>
          <cell r="W352">
            <v>0</v>
          </cell>
          <cell r="X352">
            <v>0</v>
          </cell>
          <cell r="Y352">
            <v>0</v>
          </cell>
          <cell r="Z352">
            <v>0</v>
          </cell>
          <cell r="AA352">
            <v>12000000</v>
          </cell>
          <cell r="AB352">
            <v>4500000</v>
          </cell>
          <cell r="AC352">
            <v>3000000</v>
          </cell>
          <cell r="AD352">
            <v>0</v>
          </cell>
          <cell r="AE352">
            <v>0</v>
          </cell>
          <cell r="AF352">
            <v>23200000</v>
          </cell>
          <cell r="AG352">
            <v>5650000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9532753.8200000003</v>
          </cell>
          <cell r="CJ352">
            <v>9933659.4900000002</v>
          </cell>
          <cell r="CK352">
            <v>10459212.380000001</v>
          </cell>
          <cell r="CL352">
            <v>9618303.3200000003</v>
          </cell>
          <cell r="CM352">
            <v>10315787.27</v>
          </cell>
          <cell r="CN352">
            <v>9943295.0999999996</v>
          </cell>
          <cell r="CO352">
            <v>10267360</v>
          </cell>
          <cell r="CP352">
            <v>9828835.2899999991</v>
          </cell>
          <cell r="CQ352">
            <v>9719853.5899999999</v>
          </cell>
          <cell r="CR352">
            <v>10043801.52</v>
          </cell>
          <cell r="CS352">
            <v>9672449.2899999991</v>
          </cell>
          <cell r="CT352">
            <v>9146808.5800000001</v>
          </cell>
          <cell r="CU352">
            <v>9368777.5999999996</v>
          </cell>
          <cell r="CV352">
            <v>9985214.7300000004</v>
          </cell>
          <cell r="CW352">
            <v>8951965.4800000004</v>
          </cell>
          <cell r="CX352">
            <v>10205362.74</v>
          </cell>
          <cell r="CY352">
            <v>10528065.710000001</v>
          </cell>
          <cell r="CZ352">
            <v>9956717.6400000006</v>
          </cell>
          <cell r="DA352">
            <v>10337559.310000001</v>
          </cell>
          <cell r="DB352">
            <v>9979167.6400000006</v>
          </cell>
          <cell r="DC352">
            <v>9678886.3599999994</v>
          </cell>
          <cell r="DD352">
            <v>10135317.810000001</v>
          </cell>
          <cell r="DE352">
            <v>9639007.4199999999</v>
          </cell>
          <cell r="DF352">
            <v>9123362.3000000007</v>
          </cell>
          <cell r="DG352">
            <v>9579074.5899999999</v>
          </cell>
          <cell r="DH352">
            <v>9393665.6600000001</v>
          </cell>
        </row>
        <row r="353">
          <cell r="A353" t="str">
            <v>146</v>
          </cell>
          <cell r="D353">
            <v>1682578.18</v>
          </cell>
          <cell r="E353">
            <v>1462616.51</v>
          </cell>
          <cell r="F353">
            <v>728199.31</v>
          </cell>
          <cell r="G353">
            <v>979890.58</v>
          </cell>
          <cell r="H353">
            <v>2479684.08</v>
          </cell>
          <cell r="I353">
            <v>10648663.529999999</v>
          </cell>
          <cell r="J353">
            <v>1488272</v>
          </cell>
          <cell r="K353">
            <v>2089793.79</v>
          </cell>
          <cell r="L353">
            <v>2483003.98</v>
          </cell>
          <cell r="M353">
            <v>1882648.85</v>
          </cell>
          <cell r="N353">
            <v>3905435.65</v>
          </cell>
          <cell r="O353">
            <v>1301608.32</v>
          </cell>
          <cell r="P353">
            <v>4052631.34</v>
          </cell>
          <cell r="Q353">
            <v>931282.67</v>
          </cell>
          <cell r="R353">
            <v>2163255.9</v>
          </cell>
          <cell r="S353">
            <v>2254588.08</v>
          </cell>
          <cell r="T353">
            <v>2013841.25</v>
          </cell>
          <cell r="U353">
            <v>1614332.25</v>
          </cell>
          <cell r="V353">
            <v>2837890.92</v>
          </cell>
          <cell r="W353">
            <v>2766476.36</v>
          </cell>
          <cell r="X353">
            <v>2516200.25</v>
          </cell>
          <cell r="Y353">
            <v>928631.87</v>
          </cell>
          <cell r="Z353">
            <v>1675960.84</v>
          </cell>
          <cell r="AA353">
            <v>2349948.4300000002</v>
          </cell>
          <cell r="AB353">
            <v>1457299.19</v>
          </cell>
          <cell r="AC353">
            <v>2829742.65</v>
          </cell>
          <cell r="AD353">
            <v>2457229.4300000002</v>
          </cell>
          <cell r="AE353">
            <v>2948518.52</v>
          </cell>
          <cell r="AF353">
            <v>1635076.98</v>
          </cell>
          <cell r="AG353">
            <v>86583.99</v>
          </cell>
          <cell r="AH353">
            <v>360365.74</v>
          </cell>
          <cell r="AI353">
            <v>518687.03</v>
          </cell>
          <cell r="AJ353">
            <v>291024.31</v>
          </cell>
          <cell r="AK353">
            <v>48746.96</v>
          </cell>
          <cell r="AL353">
            <v>261654.41</v>
          </cell>
          <cell r="AM353">
            <v>158587.85</v>
          </cell>
          <cell r="AN353">
            <v>503313.03</v>
          </cell>
          <cell r="AO353">
            <v>619802.68999999994</v>
          </cell>
          <cell r="AP353">
            <v>634642.61</v>
          </cell>
          <cell r="AQ353">
            <v>939793.14</v>
          </cell>
          <cell r="AR353">
            <v>408073.38</v>
          </cell>
          <cell r="AS353">
            <v>1572729.47</v>
          </cell>
          <cell r="AT353">
            <v>1404369.23</v>
          </cell>
          <cell r="AU353">
            <v>1100678.23</v>
          </cell>
          <cell r="AV353">
            <v>20878471.289999999</v>
          </cell>
          <cell r="AW353">
            <v>5018491.0999999996</v>
          </cell>
          <cell r="AX353">
            <v>1025163.49</v>
          </cell>
          <cell r="AY353">
            <v>435683.47</v>
          </cell>
          <cell r="AZ353">
            <v>1710033.81</v>
          </cell>
          <cell r="BA353">
            <v>3492470.22</v>
          </cell>
          <cell r="BB353">
            <v>2241750.75</v>
          </cell>
          <cell r="BC353">
            <v>890002.85</v>
          </cell>
          <cell r="BD353">
            <v>318547.93</v>
          </cell>
          <cell r="BE353">
            <v>1161385.1100000001</v>
          </cell>
          <cell r="BF353">
            <v>3415462.82</v>
          </cell>
          <cell r="BG353">
            <v>2333749.14</v>
          </cell>
          <cell r="BH353">
            <v>1768842.13</v>
          </cell>
          <cell r="BI353">
            <v>3627743.86</v>
          </cell>
          <cell r="BJ353">
            <v>5204923.07</v>
          </cell>
          <cell r="BK353">
            <v>4402637.72</v>
          </cell>
          <cell r="BL353">
            <v>713313.1</v>
          </cell>
          <cell r="BM353">
            <v>3029000.92</v>
          </cell>
          <cell r="BN353">
            <v>922456.72</v>
          </cell>
          <cell r="BO353">
            <v>2538943.4300000002</v>
          </cell>
          <cell r="BP353">
            <v>985413.75</v>
          </cell>
          <cell r="BQ353">
            <v>2162611.64</v>
          </cell>
          <cell r="BR353">
            <v>793870.64</v>
          </cell>
          <cell r="BS353">
            <v>899724.5</v>
          </cell>
          <cell r="BT353">
            <v>1123644.49</v>
          </cell>
          <cell r="BU353">
            <v>3093512.67</v>
          </cell>
          <cell r="BV353">
            <v>2962536.56</v>
          </cell>
          <cell r="BW353">
            <v>790710.66</v>
          </cell>
          <cell r="BX353">
            <v>1028391.49</v>
          </cell>
          <cell r="BY353">
            <v>1617267.62</v>
          </cell>
          <cell r="BZ353">
            <v>615543.57999999996</v>
          </cell>
          <cell r="CA353">
            <v>1051850.45</v>
          </cell>
          <cell r="CB353">
            <v>320408.87</v>
          </cell>
          <cell r="CC353">
            <v>925310.73</v>
          </cell>
          <cell r="CD353">
            <v>964791.86</v>
          </cell>
          <cell r="CE353">
            <v>1181441.3999999999</v>
          </cell>
          <cell r="CF353">
            <v>941547.1</v>
          </cell>
          <cell r="CG353">
            <v>485400.81</v>
          </cell>
          <cell r="CH353">
            <v>651196.72</v>
          </cell>
          <cell r="CI353">
            <v>498782.47</v>
          </cell>
          <cell r="CJ353">
            <v>692220.36</v>
          </cell>
          <cell r="CK353">
            <v>445126.1</v>
          </cell>
          <cell r="CL353">
            <v>585526.36</v>
          </cell>
          <cell r="CM353">
            <v>1317455.7</v>
          </cell>
          <cell r="CN353">
            <v>1448720</v>
          </cell>
          <cell r="CO353">
            <v>797511.06</v>
          </cell>
          <cell r="CP353">
            <v>2124067.8199999998</v>
          </cell>
          <cell r="CQ353">
            <v>2972567.28</v>
          </cell>
          <cell r="CR353">
            <v>2620581.5099999998</v>
          </cell>
          <cell r="CS353">
            <v>1434046.91</v>
          </cell>
          <cell r="CT353">
            <v>1871289.54</v>
          </cell>
          <cell r="CU353">
            <v>906420.85</v>
          </cell>
          <cell r="CV353">
            <v>828793.11</v>
          </cell>
          <cell r="CW353">
            <v>1924042.75</v>
          </cell>
          <cell r="CX353">
            <v>1004313.77</v>
          </cell>
          <cell r="CY353">
            <v>2367830.9700000002</v>
          </cell>
          <cell r="CZ353">
            <v>1594424.02</v>
          </cell>
          <cell r="DA353">
            <v>5390555.04</v>
          </cell>
          <cell r="DB353">
            <v>7130647.5700000003</v>
          </cell>
          <cell r="DC353">
            <v>4630427.6399999997</v>
          </cell>
          <cell r="DD353">
            <v>5402517.8600000003</v>
          </cell>
          <cell r="DE353">
            <v>4004251.59</v>
          </cell>
          <cell r="DF353">
            <v>2491050.86</v>
          </cell>
          <cell r="DG353">
            <v>1993234.48</v>
          </cell>
          <cell r="DH353">
            <v>3816942.81</v>
          </cell>
        </row>
        <row r="354">
          <cell r="A354" t="str">
            <v>154</v>
          </cell>
          <cell r="D354">
            <v>3062782.86</v>
          </cell>
          <cell r="E354">
            <v>2461744.83</v>
          </cell>
          <cell r="F354">
            <v>2565528.77</v>
          </cell>
          <cell r="G354">
            <v>2101725.61</v>
          </cell>
          <cell r="H354">
            <v>2087172.27</v>
          </cell>
          <cell r="I354">
            <v>1960379.72</v>
          </cell>
          <cell r="J354">
            <v>1883606.53</v>
          </cell>
          <cell r="K354">
            <v>1886869.5</v>
          </cell>
          <cell r="L354">
            <v>1975215.06</v>
          </cell>
          <cell r="M354">
            <v>1938993.96</v>
          </cell>
          <cell r="N354">
            <v>1755238.86</v>
          </cell>
          <cell r="O354">
            <v>1763112.05</v>
          </cell>
          <cell r="P354">
            <v>1799639.2</v>
          </cell>
          <cell r="Q354">
            <v>1795256.79</v>
          </cell>
          <cell r="R354">
            <v>1882330.62</v>
          </cell>
          <cell r="S354">
            <v>1995646.83</v>
          </cell>
          <cell r="T354">
            <v>1941364.49</v>
          </cell>
          <cell r="U354">
            <v>1971050.56</v>
          </cell>
          <cell r="V354">
            <v>2109939.8199999998</v>
          </cell>
          <cell r="W354">
            <v>2392366.35</v>
          </cell>
          <cell r="X354">
            <v>2373514.0699999998</v>
          </cell>
          <cell r="Y354">
            <v>2155566.11</v>
          </cell>
          <cell r="Z354">
            <v>2415372.61</v>
          </cell>
          <cell r="AA354">
            <v>2065067.07</v>
          </cell>
          <cell r="AB354">
            <v>1914661.89</v>
          </cell>
          <cell r="AC354">
            <v>1876254.86</v>
          </cell>
          <cell r="AD354">
            <v>1981157.8</v>
          </cell>
          <cell r="AE354">
            <v>1959619.57</v>
          </cell>
          <cell r="AF354">
            <v>1899603.24</v>
          </cell>
          <cell r="AG354">
            <v>2257611.46</v>
          </cell>
          <cell r="AH354">
            <v>1808145.3</v>
          </cell>
          <cell r="AI354">
            <v>1956116.69</v>
          </cell>
          <cell r="AJ354">
            <v>1919024.36</v>
          </cell>
          <cell r="AK354">
            <v>2077150.46</v>
          </cell>
          <cell r="AL354">
            <v>1860636.12</v>
          </cell>
          <cell r="AM354">
            <v>1623395.73</v>
          </cell>
          <cell r="AN354">
            <v>1700702.4</v>
          </cell>
          <cell r="AO354">
            <v>1858855.81</v>
          </cell>
          <cell r="AP354">
            <v>1904817.91</v>
          </cell>
          <cell r="AQ354">
            <v>1988687.66</v>
          </cell>
          <cell r="AR354">
            <v>1926638.87</v>
          </cell>
          <cell r="AS354">
            <v>2100729.92</v>
          </cell>
          <cell r="AT354">
            <v>2046668.36</v>
          </cell>
          <cell r="AU354">
            <v>2071037.68</v>
          </cell>
          <cell r="AV354">
            <v>2016818.42</v>
          </cell>
          <cell r="AW354">
            <v>2131647.7999999998</v>
          </cell>
          <cell r="AX354">
            <v>2042216.68</v>
          </cell>
          <cell r="AY354">
            <v>1900584.82</v>
          </cell>
          <cell r="AZ354">
            <v>1887695.39</v>
          </cell>
          <cell r="BA354">
            <v>2070997.65</v>
          </cell>
          <cell r="BB354">
            <v>2149876.11</v>
          </cell>
          <cell r="BC354">
            <v>2006690.32</v>
          </cell>
          <cell r="BD354">
            <v>1972097.67</v>
          </cell>
          <cell r="BE354">
            <v>2190177.17</v>
          </cell>
          <cell r="BF354">
            <v>2163452.0299999998</v>
          </cell>
          <cell r="BG354">
            <v>2125576.85</v>
          </cell>
          <cell r="BH354">
            <v>2476378.0499999998</v>
          </cell>
          <cell r="BI354">
            <v>2741218.33</v>
          </cell>
          <cell r="BJ354">
            <v>2360109.85</v>
          </cell>
          <cell r="BK354">
            <v>2172177.2200000002</v>
          </cell>
          <cell r="BL354">
            <v>2073130.1</v>
          </cell>
          <cell r="BM354">
            <v>2183604.33</v>
          </cell>
          <cell r="BN354">
            <v>2363788.79</v>
          </cell>
          <cell r="BO354">
            <v>2385549.1</v>
          </cell>
          <cell r="BP354">
            <v>2474715.5499999998</v>
          </cell>
          <cell r="BQ354">
            <v>2512819.36</v>
          </cell>
          <cell r="BR354">
            <v>2780054.56</v>
          </cell>
          <cell r="BS354">
            <v>2687237.82</v>
          </cell>
          <cell r="BT354">
            <v>2783190.01</v>
          </cell>
          <cell r="BU354">
            <v>2571701.88</v>
          </cell>
          <cell r="BV354">
            <v>2738670.95</v>
          </cell>
          <cell r="BW354">
            <v>2709384.59</v>
          </cell>
          <cell r="BX354">
            <v>2401228.73</v>
          </cell>
          <cell r="BY354">
            <v>2400792.73</v>
          </cell>
          <cell r="BZ354">
            <v>2617789.75</v>
          </cell>
          <cell r="CA354">
            <v>2444409.17</v>
          </cell>
          <cell r="CB354">
            <v>2661159.0499999998</v>
          </cell>
          <cell r="CC354">
            <v>2807189.21</v>
          </cell>
          <cell r="CD354">
            <v>2832085.74</v>
          </cell>
          <cell r="CE354">
            <v>2649768.37</v>
          </cell>
          <cell r="CF354">
            <v>2895960.3</v>
          </cell>
          <cell r="CG354">
            <v>2763278.25</v>
          </cell>
          <cell r="CH354">
            <v>3044537</v>
          </cell>
          <cell r="CI354">
            <v>2851203.61</v>
          </cell>
          <cell r="CJ354">
            <v>2998336.09</v>
          </cell>
          <cell r="CK354">
            <v>3185968.43</v>
          </cell>
          <cell r="CL354">
            <v>3089869.03</v>
          </cell>
          <cell r="CM354">
            <v>3262009.15</v>
          </cell>
          <cell r="CN354">
            <v>3750227.49</v>
          </cell>
          <cell r="CO354">
            <v>3835254.8</v>
          </cell>
          <cell r="CP354">
            <v>4186310.55</v>
          </cell>
          <cell r="CQ354">
            <v>3842946.45</v>
          </cell>
          <cell r="CR354">
            <v>4056172.35</v>
          </cell>
          <cell r="CS354">
            <v>4544331.8499999996</v>
          </cell>
          <cell r="CT354">
            <v>4167012.26</v>
          </cell>
          <cell r="CU354">
            <v>4010626.99</v>
          </cell>
          <cell r="CV354">
            <v>2635011.9900000002</v>
          </cell>
          <cell r="CW354">
            <v>3634159.02</v>
          </cell>
          <cell r="CX354">
            <v>3462773.67</v>
          </cell>
          <cell r="CY354">
            <v>3847498.79</v>
          </cell>
          <cell r="CZ354">
            <v>4272214.34</v>
          </cell>
          <cell r="DA354">
            <v>4533297.7300000004</v>
          </cell>
          <cell r="DB354">
            <v>4553497.25</v>
          </cell>
          <cell r="DC354">
            <v>4636479.63</v>
          </cell>
          <cell r="DD354">
            <v>4527009.3</v>
          </cell>
          <cell r="DE354">
            <v>5185663.9400000004</v>
          </cell>
          <cell r="DF354">
            <v>6167061.3200000003</v>
          </cell>
          <cell r="DG354">
            <v>6268299.8899999997</v>
          </cell>
          <cell r="DH354">
            <v>4817154.4800000004</v>
          </cell>
        </row>
        <row r="355">
          <cell r="A355" t="str">
            <v>155</v>
          </cell>
        </row>
        <row r="356">
          <cell r="A356" t="str">
            <v>163</v>
          </cell>
        </row>
        <row r="357">
          <cell r="A357" t="str">
            <v>164</v>
          </cell>
          <cell r="D357">
            <v>0</v>
          </cell>
          <cell r="E357">
            <v>0</v>
          </cell>
          <cell r="F357">
            <v>0</v>
          </cell>
          <cell r="G357">
            <v>0</v>
          </cell>
          <cell r="H357">
            <v>0</v>
          </cell>
          <cell r="I357">
            <v>674234.7</v>
          </cell>
          <cell r="J357">
            <v>915628.68</v>
          </cell>
          <cell r="K357">
            <v>566433.19999999995</v>
          </cell>
          <cell r="L357">
            <v>526874.73</v>
          </cell>
          <cell r="M357">
            <v>526874.73</v>
          </cell>
          <cell r="N357">
            <v>371458.67</v>
          </cell>
          <cell r="O357">
            <v>371458.67</v>
          </cell>
          <cell r="P357">
            <v>0.09</v>
          </cell>
          <cell r="Q357">
            <v>0.09</v>
          </cell>
          <cell r="R357">
            <v>126382.76</v>
          </cell>
          <cell r="S357">
            <v>126462.97</v>
          </cell>
          <cell r="T357">
            <v>303357.52</v>
          </cell>
          <cell r="U357">
            <v>328220.69</v>
          </cell>
          <cell r="V357">
            <v>152306.04</v>
          </cell>
          <cell r="W357">
            <v>275336.45</v>
          </cell>
          <cell r="X357">
            <v>188053.91</v>
          </cell>
          <cell r="Y357">
            <v>274691.52</v>
          </cell>
          <cell r="Z357">
            <v>274691.52</v>
          </cell>
          <cell r="AA357">
            <v>234990.37</v>
          </cell>
          <cell r="AB357">
            <v>158626.06</v>
          </cell>
          <cell r="AC357">
            <v>116977.52</v>
          </cell>
          <cell r="AD357">
            <v>141290.51999999999</v>
          </cell>
          <cell r="AE357">
            <v>180751.19</v>
          </cell>
          <cell r="AF357">
            <v>128606.99</v>
          </cell>
          <cell r="AG357">
            <v>175062.51</v>
          </cell>
          <cell r="AH357">
            <v>175779.32</v>
          </cell>
          <cell r="AI357">
            <v>159177.10999999999</v>
          </cell>
          <cell r="AJ357">
            <v>610201.92000000004</v>
          </cell>
          <cell r="AK357">
            <v>610201.92000000004</v>
          </cell>
          <cell r="AL357">
            <v>537006.63</v>
          </cell>
          <cell r="AM357">
            <v>537006.63</v>
          </cell>
          <cell r="AN357">
            <v>376420.21</v>
          </cell>
          <cell r="AO357">
            <v>332841.99</v>
          </cell>
          <cell r="AP357">
            <v>441100.59</v>
          </cell>
          <cell r="AQ357">
            <v>276589.73</v>
          </cell>
          <cell r="AR357">
            <v>326172.79999999999</v>
          </cell>
          <cell r="AS357">
            <v>326172.79999999999</v>
          </cell>
          <cell r="AT357">
            <v>467078.08</v>
          </cell>
          <cell r="AU357">
            <v>344971.23</v>
          </cell>
          <cell r="AV357">
            <v>354483.55</v>
          </cell>
          <cell r="AW357">
            <v>-2.37</v>
          </cell>
          <cell r="AX357">
            <v>-2.37</v>
          </cell>
          <cell r="AY357">
            <v>-2.37</v>
          </cell>
          <cell r="AZ357">
            <v>-2.37</v>
          </cell>
          <cell r="BA357">
            <v>-2.37</v>
          </cell>
          <cell r="BB357">
            <v>-2.37</v>
          </cell>
          <cell r="BC357">
            <v>-2.37</v>
          </cell>
          <cell r="BD357">
            <v>-2.37</v>
          </cell>
          <cell r="BE357">
            <v>-2.37</v>
          </cell>
          <cell r="BF357">
            <v>-2.37</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995777.75</v>
          </cell>
          <cell r="CV357">
            <v>864732.09</v>
          </cell>
          <cell r="CW357">
            <v>891567.41</v>
          </cell>
          <cell r="CX357">
            <v>785937.6</v>
          </cell>
          <cell r="CY357">
            <v>566425.01</v>
          </cell>
          <cell r="CZ357">
            <v>566425.01</v>
          </cell>
          <cell r="DA357">
            <v>566425.01</v>
          </cell>
          <cell r="DB357">
            <v>708429.13</v>
          </cell>
          <cell r="DC357">
            <v>708429.13</v>
          </cell>
          <cell r="DD357">
            <v>703621.83</v>
          </cell>
          <cell r="DE357">
            <v>769733.98</v>
          </cell>
          <cell r="DF357">
            <v>933797.04</v>
          </cell>
          <cell r="DG357">
            <v>959432.51</v>
          </cell>
          <cell r="DH357">
            <v>413689.47</v>
          </cell>
        </row>
        <row r="358">
          <cell r="A358" t="str">
            <v>165</v>
          </cell>
          <cell r="D358">
            <v>1368776.14</v>
          </cell>
          <cell r="E358">
            <v>1039520.34</v>
          </cell>
          <cell r="F358">
            <v>907146.63</v>
          </cell>
          <cell r="G358">
            <v>831246.05</v>
          </cell>
          <cell r="H358">
            <v>782113.05</v>
          </cell>
          <cell r="I358">
            <v>656513.97</v>
          </cell>
          <cell r="J358">
            <v>631619.04</v>
          </cell>
          <cell r="K358">
            <v>1953980.05</v>
          </cell>
          <cell r="L358">
            <v>1772697.36</v>
          </cell>
          <cell r="M358">
            <v>1628933.26</v>
          </cell>
          <cell r="N358">
            <v>1485297.55</v>
          </cell>
          <cell r="O358">
            <v>1334468.3999999999</v>
          </cell>
          <cell r="P358">
            <v>1647948.32</v>
          </cell>
          <cell r="Q358">
            <v>1354406.4</v>
          </cell>
          <cell r="R358">
            <v>1184886.3999999999</v>
          </cell>
          <cell r="S358">
            <v>1059905.23</v>
          </cell>
          <cell r="T358">
            <v>1057213.8400000001</v>
          </cell>
          <cell r="U358">
            <v>957683.84</v>
          </cell>
          <cell r="V358">
            <v>774697.28</v>
          </cell>
          <cell r="W358">
            <v>2204593.34</v>
          </cell>
          <cell r="X358">
            <v>2007777.08</v>
          </cell>
          <cell r="Y358">
            <v>1843005.82</v>
          </cell>
          <cell r="Z358">
            <v>1643519.14</v>
          </cell>
          <cell r="AA358">
            <v>1444032.46</v>
          </cell>
          <cell r="AB358">
            <v>1885907.19</v>
          </cell>
          <cell r="AC358">
            <v>1578367.66</v>
          </cell>
          <cell r="AD358">
            <v>1352296.66</v>
          </cell>
          <cell r="AE358">
            <v>1326325.18</v>
          </cell>
          <cell r="AF358">
            <v>1113343.06</v>
          </cell>
          <cell r="AG358">
            <v>935977.93</v>
          </cell>
          <cell r="AH358">
            <v>734975.06</v>
          </cell>
          <cell r="AI358">
            <v>2058174.99</v>
          </cell>
          <cell r="AJ358">
            <v>1876162.32</v>
          </cell>
          <cell r="AK358">
            <v>1722410.24</v>
          </cell>
          <cell r="AL358">
            <v>1480709.62</v>
          </cell>
          <cell r="AM358">
            <v>1441957.5</v>
          </cell>
          <cell r="AN358">
            <v>2571948.0499999998</v>
          </cell>
          <cell r="AO358">
            <v>2637079.91</v>
          </cell>
          <cell r="AP358">
            <v>2412686.77</v>
          </cell>
          <cell r="AQ358">
            <v>2493829.9900000002</v>
          </cell>
          <cell r="AR358">
            <v>2161501.91</v>
          </cell>
          <cell r="AS358">
            <v>1938411.13</v>
          </cell>
          <cell r="AT358">
            <v>1711056.75</v>
          </cell>
          <cell r="AU358">
            <v>1533561.22</v>
          </cell>
          <cell r="AV358">
            <v>1302457.25</v>
          </cell>
          <cell r="AW358">
            <v>1068417.3400000001</v>
          </cell>
          <cell r="AX358">
            <v>814981.04</v>
          </cell>
          <cell r="AY358">
            <v>580511.29</v>
          </cell>
          <cell r="AZ358">
            <v>1546852.29</v>
          </cell>
          <cell r="BA358">
            <v>2611172.39</v>
          </cell>
          <cell r="BB358">
            <v>2661375.6800000002</v>
          </cell>
          <cell r="BC358">
            <v>2747632.17</v>
          </cell>
          <cell r="BD358">
            <v>2397497.58</v>
          </cell>
          <cell r="BE358">
            <v>2167945.7999999998</v>
          </cell>
          <cell r="BF358">
            <v>1836984.8</v>
          </cell>
          <cell r="BG358">
            <v>1481309.37</v>
          </cell>
          <cell r="BH358">
            <v>1278482.94</v>
          </cell>
          <cell r="BI358">
            <v>1030993.89</v>
          </cell>
          <cell r="BJ358">
            <v>805904.87</v>
          </cell>
          <cell r="BK358">
            <v>548556.31999999995</v>
          </cell>
          <cell r="BL358">
            <v>619353.9</v>
          </cell>
          <cell r="BM358">
            <v>2100329.87</v>
          </cell>
          <cell r="BN358">
            <v>2804733.02</v>
          </cell>
          <cell r="BO358">
            <v>2555790.98</v>
          </cell>
          <cell r="BP358">
            <v>2236028.4300000002</v>
          </cell>
          <cell r="BQ358">
            <v>1973524.77</v>
          </cell>
          <cell r="BR358">
            <v>1716836.66</v>
          </cell>
          <cell r="BS358">
            <v>1570580.19</v>
          </cell>
          <cell r="BT358">
            <v>1545093.89</v>
          </cell>
          <cell r="BU358">
            <v>1550635.04</v>
          </cell>
          <cell r="BV358">
            <v>1228478.6200000001</v>
          </cell>
          <cell r="BW358">
            <v>967258.04</v>
          </cell>
          <cell r="BX358">
            <v>1409778.76</v>
          </cell>
          <cell r="BY358">
            <v>3557474.63</v>
          </cell>
          <cell r="BZ358">
            <v>3489933.18</v>
          </cell>
          <cell r="CA358">
            <v>3363992.47</v>
          </cell>
          <cell r="CB358">
            <v>2969990.76</v>
          </cell>
          <cell r="CC358">
            <v>2639321.63</v>
          </cell>
          <cell r="CD358">
            <v>2532971.7999999998</v>
          </cell>
          <cell r="CE358">
            <v>2080121.22</v>
          </cell>
          <cell r="CF358">
            <v>1822052.29</v>
          </cell>
          <cell r="CG358">
            <v>1503255.96</v>
          </cell>
          <cell r="CH358">
            <v>1044021.41</v>
          </cell>
          <cell r="CI358">
            <v>703365.82</v>
          </cell>
          <cell r="CJ358">
            <v>1156912.8</v>
          </cell>
          <cell r="CK358">
            <v>3134726.35</v>
          </cell>
          <cell r="CL358">
            <v>3235280.12</v>
          </cell>
          <cell r="CM358">
            <v>3057358.61</v>
          </cell>
          <cell r="CN358">
            <v>2786915.92</v>
          </cell>
          <cell r="CO358">
            <v>2369682.1</v>
          </cell>
          <cell r="CP358">
            <v>2210480.59</v>
          </cell>
          <cell r="CQ358">
            <v>4759789.76</v>
          </cell>
          <cell r="CR358">
            <v>4377565.33</v>
          </cell>
          <cell r="CS358">
            <v>3826772.77</v>
          </cell>
          <cell r="CT358">
            <v>3194175.51</v>
          </cell>
          <cell r="CU358">
            <v>2743106.68</v>
          </cell>
          <cell r="CV358">
            <v>3413030.42</v>
          </cell>
          <cell r="CW358">
            <v>6193235.4699999997</v>
          </cell>
          <cell r="CX358">
            <v>6227481.4500000002</v>
          </cell>
          <cell r="CY358">
            <v>5022502.95</v>
          </cell>
          <cell r="CZ358">
            <v>4682754.0599999996</v>
          </cell>
          <cell r="DA358">
            <v>3907114.48</v>
          </cell>
          <cell r="DB358">
            <v>3587775.62</v>
          </cell>
          <cell r="DC358">
            <v>7492947.5300000003</v>
          </cell>
          <cell r="DD358">
            <v>7172512.8099999996</v>
          </cell>
          <cell r="DE358">
            <v>5981295.2000000002</v>
          </cell>
          <cell r="DF358">
            <v>5185981.66</v>
          </cell>
          <cell r="DG358">
            <v>4429967.9000000004</v>
          </cell>
          <cell r="DH358">
            <v>3955617.64</v>
          </cell>
        </row>
        <row r="359">
          <cell r="A359" t="str">
            <v>173</v>
          </cell>
          <cell r="D359">
            <v>10453804</v>
          </cell>
          <cell r="E359">
            <v>14121424</v>
          </cell>
          <cell r="F359">
            <v>14501272</v>
          </cell>
          <cell r="G359">
            <v>12210429</v>
          </cell>
          <cell r="H359">
            <v>11264410</v>
          </cell>
          <cell r="I359">
            <v>9588042</v>
          </cell>
          <cell r="J359">
            <v>9309625</v>
          </cell>
          <cell r="K359">
            <v>8689961</v>
          </cell>
          <cell r="L359">
            <v>8265612</v>
          </cell>
          <cell r="M359">
            <v>8573106</v>
          </cell>
          <cell r="N359">
            <v>8758043</v>
          </cell>
          <cell r="O359">
            <v>9690129</v>
          </cell>
          <cell r="P359">
            <v>12160508</v>
          </cell>
          <cell r="Q359">
            <v>13773698</v>
          </cell>
          <cell r="R359">
            <v>13842191</v>
          </cell>
          <cell r="S359">
            <v>13153486</v>
          </cell>
          <cell r="T359">
            <v>10396447</v>
          </cell>
          <cell r="U359">
            <v>8997653</v>
          </cell>
          <cell r="V359">
            <v>9318367</v>
          </cell>
          <cell r="W359">
            <v>8578586</v>
          </cell>
          <cell r="X359">
            <v>8605700</v>
          </cell>
          <cell r="Y359">
            <v>8467002</v>
          </cell>
          <cell r="Z359">
            <v>8631054</v>
          </cell>
          <cell r="AA359">
            <v>9332814</v>
          </cell>
          <cell r="AB359">
            <v>10568472</v>
          </cell>
          <cell r="AC359">
            <v>13194093</v>
          </cell>
          <cell r="AD359">
            <v>14606125</v>
          </cell>
          <cell r="AE359">
            <v>12771278</v>
          </cell>
          <cell r="AF359">
            <v>11268386</v>
          </cell>
          <cell r="AG359">
            <v>9955795</v>
          </cell>
          <cell r="AH359">
            <v>9011790</v>
          </cell>
          <cell r="AI359">
            <v>8305546</v>
          </cell>
          <cell r="AJ359">
            <v>8236893</v>
          </cell>
          <cell r="AK359">
            <v>8329332</v>
          </cell>
          <cell r="AL359">
            <v>8272996</v>
          </cell>
          <cell r="AM359">
            <v>9246536</v>
          </cell>
          <cell r="AN359">
            <v>10736588</v>
          </cell>
          <cell r="AO359">
            <v>12078768</v>
          </cell>
          <cell r="AP359">
            <v>11961224</v>
          </cell>
          <cell r="AQ359">
            <v>11195527</v>
          </cell>
          <cell r="AR359">
            <v>10986039</v>
          </cell>
          <cell r="AS359">
            <v>9783910</v>
          </cell>
          <cell r="AT359">
            <v>8920964</v>
          </cell>
          <cell r="AU359">
            <v>8405325</v>
          </cell>
          <cell r="AV359">
            <v>8345855</v>
          </cell>
          <cell r="AW359">
            <v>8880385</v>
          </cell>
          <cell r="AX359">
            <v>9055757</v>
          </cell>
          <cell r="AY359">
            <v>10184241</v>
          </cell>
          <cell r="AZ359">
            <v>12037763</v>
          </cell>
          <cell r="BA359">
            <v>16903475</v>
          </cell>
          <cell r="BB359">
            <v>15075867</v>
          </cell>
          <cell r="BC359">
            <v>12324817</v>
          </cell>
          <cell r="BD359">
            <v>12712880</v>
          </cell>
          <cell r="BE359">
            <v>10609698</v>
          </cell>
          <cell r="BF359">
            <v>9391200</v>
          </cell>
          <cell r="BG359">
            <v>9182201</v>
          </cell>
          <cell r="BH359">
            <v>8937787</v>
          </cell>
          <cell r="BI359">
            <v>8976897</v>
          </cell>
          <cell r="BJ359">
            <v>8940430</v>
          </cell>
          <cell r="BK359">
            <v>10330350</v>
          </cell>
          <cell r="BL359">
            <v>12353298</v>
          </cell>
          <cell r="BM359">
            <v>13959659</v>
          </cell>
          <cell r="BN359">
            <v>11843869</v>
          </cell>
          <cell r="BO359">
            <v>12411808</v>
          </cell>
          <cell r="BP359">
            <v>12154083</v>
          </cell>
          <cell r="BQ359">
            <v>10937017</v>
          </cell>
          <cell r="BR359">
            <v>9590748</v>
          </cell>
          <cell r="BS359">
            <v>9249482</v>
          </cell>
          <cell r="BT359">
            <v>8624741</v>
          </cell>
          <cell r="BU359">
            <v>8918257</v>
          </cell>
          <cell r="BV359">
            <v>8868740</v>
          </cell>
          <cell r="BW359">
            <v>11408241</v>
          </cell>
          <cell r="BX359">
            <v>12585260</v>
          </cell>
          <cell r="BY359">
            <v>13948631</v>
          </cell>
          <cell r="BZ359">
            <v>13340275</v>
          </cell>
          <cell r="CA359">
            <v>11488328</v>
          </cell>
          <cell r="CB359">
            <v>10090773</v>
          </cell>
          <cell r="CC359">
            <v>9202897</v>
          </cell>
          <cell r="CD359">
            <v>9178472</v>
          </cell>
          <cell r="CE359">
            <v>8547643</v>
          </cell>
          <cell r="CF359">
            <v>8576101</v>
          </cell>
          <cell r="CG359">
            <v>8525635</v>
          </cell>
          <cell r="CH359">
            <v>9004210</v>
          </cell>
          <cell r="CI359">
            <v>10300774</v>
          </cell>
          <cell r="CJ359">
            <v>15058285</v>
          </cell>
          <cell r="CK359">
            <v>18903678</v>
          </cell>
          <cell r="CL359">
            <v>15409592</v>
          </cell>
          <cell r="CM359">
            <v>16257338</v>
          </cell>
          <cell r="CN359">
            <v>16067614</v>
          </cell>
          <cell r="CO359">
            <v>13825000</v>
          </cell>
          <cell r="CP359">
            <v>12980495</v>
          </cell>
          <cell r="CQ359">
            <v>12554084</v>
          </cell>
          <cell r="CR359">
            <v>11932838</v>
          </cell>
          <cell r="CS359">
            <v>12452247</v>
          </cell>
          <cell r="CT359">
            <v>12150759</v>
          </cell>
          <cell r="CU359">
            <v>13785737</v>
          </cell>
          <cell r="CV359">
            <v>17180538</v>
          </cell>
          <cell r="CW359">
            <v>22714314</v>
          </cell>
          <cell r="CX359">
            <v>21544001</v>
          </cell>
          <cell r="CY359">
            <v>18374847</v>
          </cell>
          <cell r="CZ359">
            <v>16853412</v>
          </cell>
          <cell r="DA359">
            <v>15553655</v>
          </cell>
          <cell r="DB359">
            <v>13680802</v>
          </cell>
          <cell r="DC359">
            <v>12783744</v>
          </cell>
          <cell r="DD359">
            <v>14256348</v>
          </cell>
          <cell r="DE359">
            <v>13334863</v>
          </cell>
          <cell r="DF359">
            <v>15910901</v>
          </cell>
          <cell r="DG359">
            <v>14071119</v>
          </cell>
          <cell r="DH359">
            <v>16225985</v>
          </cell>
        </row>
        <row r="360">
          <cell r="A360" t="str">
            <v>176</v>
          </cell>
          <cell r="D360">
            <v>1135145</v>
          </cell>
          <cell r="E360">
            <v>3564445</v>
          </cell>
          <cell r="F360">
            <v>2489515</v>
          </cell>
          <cell r="G360">
            <v>1505045</v>
          </cell>
          <cell r="H360">
            <v>3092578.68</v>
          </cell>
          <cell r="I360">
            <v>1180610</v>
          </cell>
          <cell r="J360">
            <v>677755</v>
          </cell>
          <cell r="K360">
            <v>0</v>
          </cell>
          <cell r="L360">
            <v>4975</v>
          </cell>
          <cell r="M360">
            <v>0</v>
          </cell>
          <cell r="N360">
            <v>0</v>
          </cell>
          <cell r="O360">
            <v>0</v>
          </cell>
          <cell r="P360">
            <v>0</v>
          </cell>
          <cell r="Q360">
            <v>0</v>
          </cell>
          <cell r="R360">
            <v>0</v>
          </cell>
          <cell r="S360">
            <v>27523.919999999998</v>
          </cell>
          <cell r="T360">
            <v>187787.92</v>
          </cell>
          <cell r="U360">
            <v>0</v>
          </cell>
          <cell r="V360">
            <v>360</v>
          </cell>
          <cell r="W360">
            <v>0</v>
          </cell>
          <cell r="X360">
            <v>0</v>
          </cell>
          <cell r="Y360">
            <v>0</v>
          </cell>
          <cell r="Z360">
            <v>0</v>
          </cell>
          <cell r="AA360">
            <v>0</v>
          </cell>
          <cell r="AB360">
            <v>0</v>
          </cell>
          <cell r="AC360">
            <v>2520</v>
          </cell>
          <cell r="AD360">
            <v>0</v>
          </cell>
          <cell r="AE360">
            <v>2790</v>
          </cell>
          <cell r="AF360">
            <v>56285</v>
          </cell>
          <cell r="AG360">
            <v>78685</v>
          </cell>
          <cell r="AH360">
            <v>358635</v>
          </cell>
          <cell r="AI360">
            <v>351745</v>
          </cell>
          <cell r="AJ360">
            <v>201625</v>
          </cell>
          <cell r="AK360">
            <v>118295</v>
          </cell>
          <cell r="AL360">
            <v>153405</v>
          </cell>
          <cell r="AM360">
            <v>532145</v>
          </cell>
          <cell r="AN360">
            <v>1989240</v>
          </cell>
          <cell r="AO360">
            <v>535400</v>
          </cell>
          <cell r="AP360">
            <v>31520</v>
          </cell>
          <cell r="AQ360">
            <v>482880</v>
          </cell>
          <cell r="AR360">
            <v>538845</v>
          </cell>
          <cell r="AS360">
            <v>169525</v>
          </cell>
          <cell r="AT360">
            <v>88275</v>
          </cell>
          <cell r="AU360">
            <v>8450</v>
          </cell>
          <cell r="AV360">
            <v>101195</v>
          </cell>
          <cell r="AW360">
            <v>79745</v>
          </cell>
          <cell r="AX360">
            <v>4800</v>
          </cell>
          <cell r="AY360">
            <v>7230</v>
          </cell>
          <cell r="AZ360">
            <v>0</v>
          </cell>
          <cell r="BA360">
            <v>77895</v>
          </cell>
          <cell r="BB360">
            <v>0</v>
          </cell>
          <cell r="BC360">
            <v>0</v>
          </cell>
          <cell r="BD360">
            <v>2040</v>
          </cell>
          <cell r="BE360">
            <v>20020</v>
          </cell>
          <cell r="BF360">
            <v>15330</v>
          </cell>
          <cell r="BG360">
            <v>0</v>
          </cell>
          <cell r="BH360">
            <v>3500</v>
          </cell>
          <cell r="BI360">
            <v>10040</v>
          </cell>
          <cell r="BJ360">
            <v>14650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row>
        <row r="361">
          <cell r="A361" t="str">
            <v>181</v>
          </cell>
          <cell r="D361">
            <v>1094576.58</v>
          </cell>
          <cell r="E361">
            <v>1087397.54</v>
          </cell>
          <cell r="F361">
            <v>1080218.5</v>
          </cell>
          <cell r="G361">
            <v>1073039.46</v>
          </cell>
          <cell r="H361">
            <v>1065860.42</v>
          </cell>
          <cell r="I361">
            <v>1151468.8799999999</v>
          </cell>
          <cell r="J361">
            <v>1146259.69</v>
          </cell>
          <cell r="K361">
            <v>1141357.42</v>
          </cell>
          <cell r="L361">
            <v>1134105.01</v>
          </cell>
          <cell r="M361">
            <v>1136898.3899999999</v>
          </cell>
          <cell r="N361">
            <v>1129580.24</v>
          </cell>
          <cell r="O361">
            <v>1122097.51</v>
          </cell>
          <cell r="P361">
            <v>1114614.78</v>
          </cell>
          <cell r="Q361">
            <v>1107132.05</v>
          </cell>
          <cell r="R361">
            <v>1099649.32</v>
          </cell>
          <cell r="S361">
            <v>1092166.5900000001</v>
          </cell>
          <cell r="T361">
            <v>1084683.8600000001</v>
          </cell>
          <cell r="U361">
            <v>1266226.81</v>
          </cell>
          <cell r="V361">
            <v>1277958.69</v>
          </cell>
          <cell r="W361">
            <v>1271078.6399999999</v>
          </cell>
          <cell r="X361">
            <v>1263012.55</v>
          </cell>
          <cell r="Y361">
            <v>1264835.3400000001</v>
          </cell>
          <cell r="Z361">
            <v>1256741.47</v>
          </cell>
          <cell r="AA361">
            <v>1248648.31</v>
          </cell>
          <cell r="AB361">
            <v>1240554.44</v>
          </cell>
          <cell r="AC361">
            <v>1232460.57</v>
          </cell>
          <cell r="AD361">
            <v>1224366.7</v>
          </cell>
          <cell r="AE361">
            <v>1216272.83</v>
          </cell>
          <cell r="AF361">
            <v>1208178.96</v>
          </cell>
          <cell r="AG361">
            <v>1200085.0900000001</v>
          </cell>
          <cell r="AH361">
            <v>1191991.22</v>
          </cell>
          <cell r="AI361">
            <v>1183897.3500000001</v>
          </cell>
          <cell r="AJ361">
            <v>1175803.48</v>
          </cell>
          <cell r="AK361">
            <v>1167709.6100000001</v>
          </cell>
          <cell r="AL361">
            <v>1159615.74</v>
          </cell>
          <cell r="AM361">
            <v>1151521.8700000001</v>
          </cell>
          <cell r="AN361">
            <v>1143428</v>
          </cell>
          <cell r="AO361">
            <v>1135334.1299999999</v>
          </cell>
          <cell r="AP361">
            <v>1127240.26</v>
          </cell>
          <cell r="AQ361">
            <v>1119146.3899999999</v>
          </cell>
          <cell r="AR361">
            <v>1111052.52</v>
          </cell>
          <cell r="AS361">
            <v>1102958.6499999999</v>
          </cell>
          <cell r="AT361">
            <v>1094864.78</v>
          </cell>
          <cell r="AU361">
            <v>1086770.9099999999</v>
          </cell>
          <cell r="AV361">
            <v>1078677.04</v>
          </cell>
          <cell r="AW361">
            <v>1070583.17</v>
          </cell>
          <cell r="AX361">
            <v>1062489.3</v>
          </cell>
          <cell r="AY361">
            <v>1054395.43</v>
          </cell>
          <cell r="AZ361">
            <v>1046301.56</v>
          </cell>
          <cell r="BA361">
            <v>1038207.69</v>
          </cell>
          <cell r="BB361">
            <v>1030113.82</v>
          </cell>
          <cell r="BC361">
            <v>1067879.33</v>
          </cell>
          <cell r="BD361">
            <v>1053234.1200000001</v>
          </cell>
          <cell r="BE361">
            <v>1040165.93</v>
          </cell>
          <cell r="BF361">
            <v>1785062.77</v>
          </cell>
          <cell r="BG361">
            <v>1787671.47</v>
          </cell>
          <cell r="BH361">
            <v>1779136.91</v>
          </cell>
          <cell r="BI361">
            <v>1807013.89</v>
          </cell>
          <cell r="BJ361">
            <v>2037074.48</v>
          </cell>
          <cell r="BK361">
            <v>2030609.45</v>
          </cell>
          <cell r="BL361">
            <v>2027977.83</v>
          </cell>
          <cell r="BM361">
            <v>2020072.15</v>
          </cell>
          <cell r="BN361">
            <v>2012183.48</v>
          </cell>
          <cell r="BO361">
            <v>2018048.28</v>
          </cell>
          <cell r="BP361">
            <v>2010104.56</v>
          </cell>
          <cell r="BQ361">
            <v>2002160.84</v>
          </cell>
          <cell r="BR361">
            <v>1994217.12</v>
          </cell>
          <cell r="BS361">
            <v>2205578.9</v>
          </cell>
          <cell r="BT361">
            <v>2242159.67</v>
          </cell>
          <cell r="BU361">
            <v>2244443.7000000002</v>
          </cell>
          <cell r="BV361">
            <v>2235757.23</v>
          </cell>
          <cell r="BW361">
            <v>2227070.7599999998</v>
          </cell>
          <cell r="BX361">
            <v>2233060.89</v>
          </cell>
          <cell r="BY361">
            <v>2224334.3199999998</v>
          </cell>
          <cell r="BZ361">
            <v>2226927.2999999998</v>
          </cell>
          <cell r="CA361">
            <v>2222016.42</v>
          </cell>
          <cell r="CB361">
            <v>2211821.5099999998</v>
          </cell>
          <cell r="CC361">
            <v>2201626.6</v>
          </cell>
          <cell r="CD361">
            <v>2191431.69</v>
          </cell>
          <cell r="CE361">
            <v>2181236.7799999998</v>
          </cell>
          <cell r="CF361">
            <v>2171041.87</v>
          </cell>
          <cell r="CG361">
            <v>2160846.96</v>
          </cell>
          <cell r="CH361">
            <v>2150652.0499999998</v>
          </cell>
          <cell r="CI361">
            <v>2140457.14</v>
          </cell>
          <cell r="CJ361">
            <v>2130262.23</v>
          </cell>
          <cell r="CK361">
            <v>2126631.2200000002</v>
          </cell>
          <cell r="CL361">
            <v>2115715.41</v>
          </cell>
          <cell r="CM361">
            <v>3962950.89</v>
          </cell>
          <cell r="CN361">
            <v>4083428.36</v>
          </cell>
          <cell r="CO361">
            <v>4214954.07</v>
          </cell>
          <cell r="CP361">
            <v>4360244.96</v>
          </cell>
          <cell r="CQ361">
            <v>4339276.21</v>
          </cell>
          <cell r="CR361">
            <v>4318307.46</v>
          </cell>
          <cell r="CS361">
            <v>4297338.71</v>
          </cell>
          <cell r="CT361">
            <v>4276369.96</v>
          </cell>
          <cell r="CU361">
            <v>4255401.21</v>
          </cell>
          <cell r="CV361">
            <v>4248945.28</v>
          </cell>
          <cell r="CW361">
            <v>4226523.13</v>
          </cell>
          <cell r="CX361">
            <v>4204367.16</v>
          </cell>
          <cell r="CY361">
            <v>4182211.19</v>
          </cell>
          <cell r="CZ361">
            <v>4161036.5</v>
          </cell>
          <cell r="DA361">
            <v>4138757.87</v>
          </cell>
          <cell r="DB361">
            <v>4116479.24</v>
          </cell>
          <cell r="DC361">
            <v>4568227.79</v>
          </cell>
          <cell r="DD361">
            <v>4607047.5999999996</v>
          </cell>
          <cell r="DE361">
            <v>4577845.6399999997</v>
          </cell>
          <cell r="DF361">
            <v>4562267.2300000004</v>
          </cell>
          <cell r="DG361">
            <v>4533620.3099999996</v>
          </cell>
          <cell r="DH361">
            <v>4543244.37</v>
          </cell>
        </row>
        <row r="362">
          <cell r="A362" t="str">
            <v>182</v>
          </cell>
          <cell r="D362">
            <v>74569400.390000001</v>
          </cell>
          <cell r="E362">
            <v>73807112.120000005</v>
          </cell>
          <cell r="F362">
            <v>74605444.239999995</v>
          </cell>
          <cell r="G362">
            <v>71652212.670000002</v>
          </cell>
          <cell r="H362">
            <v>72666361.239999995</v>
          </cell>
          <cell r="I362">
            <v>73459309.980000004</v>
          </cell>
          <cell r="J362">
            <v>71532885.200000003</v>
          </cell>
          <cell r="K362">
            <v>75789900.859999999</v>
          </cell>
          <cell r="L362">
            <v>75581800.370000005</v>
          </cell>
          <cell r="M362">
            <v>72967114.269999996</v>
          </cell>
          <cell r="N362">
            <v>75389320.349999994</v>
          </cell>
          <cell r="O362">
            <v>74709774.189999998</v>
          </cell>
          <cell r="P362">
            <v>84175273.530000001</v>
          </cell>
          <cell r="Q362">
            <v>84317561.189999998</v>
          </cell>
          <cell r="R362">
            <v>82614505.25</v>
          </cell>
          <cell r="S362">
            <v>82891058.099999994</v>
          </cell>
          <cell r="T362">
            <v>80356852.489999995</v>
          </cell>
          <cell r="U362">
            <v>80538427.280000001</v>
          </cell>
          <cell r="V362">
            <v>78669747.689999998</v>
          </cell>
          <cell r="W362">
            <v>78867839.799999997</v>
          </cell>
          <cell r="X362">
            <v>78723525.140000001</v>
          </cell>
          <cell r="Y362">
            <v>79203494.340000004</v>
          </cell>
          <cell r="Z362">
            <v>81176658.040000007</v>
          </cell>
          <cell r="AA362">
            <v>81724006.040000007</v>
          </cell>
          <cell r="AB362">
            <v>88101087.109999999</v>
          </cell>
          <cell r="AC362">
            <v>86675211.670000002</v>
          </cell>
          <cell r="AD362">
            <v>87217961.599999994</v>
          </cell>
          <cell r="AE362">
            <v>85048079.159999996</v>
          </cell>
          <cell r="AF362">
            <v>83545440.579999998</v>
          </cell>
          <cell r="AG362">
            <v>83307682.700000003</v>
          </cell>
          <cell r="AH362">
            <v>81905969.150000006</v>
          </cell>
          <cell r="AI362">
            <v>81878543.769999996</v>
          </cell>
          <cell r="AJ362">
            <v>82001866.840000004</v>
          </cell>
          <cell r="AK362">
            <v>90513601.819999993</v>
          </cell>
          <cell r="AL362">
            <v>90725647.599999994</v>
          </cell>
          <cell r="AM362">
            <v>90535675.689999998</v>
          </cell>
          <cell r="AN362">
            <v>68195765.540000007</v>
          </cell>
          <cell r="AO362">
            <v>68153972.310000002</v>
          </cell>
          <cell r="AP362">
            <v>67760218.430000007</v>
          </cell>
          <cell r="AQ362">
            <v>65417511.93</v>
          </cell>
          <cell r="AR362">
            <v>65077184.619999997</v>
          </cell>
          <cell r="AS362">
            <v>64911520.240000002</v>
          </cell>
          <cell r="AT362">
            <v>65295240.359999999</v>
          </cell>
          <cell r="AU362">
            <v>65050258.240000002</v>
          </cell>
          <cell r="AV362">
            <v>65726876.450000003</v>
          </cell>
          <cell r="AW362">
            <v>64839193.619999997</v>
          </cell>
          <cell r="AX362">
            <v>66408185.140000001</v>
          </cell>
          <cell r="AY362">
            <v>66663427.140000001</v>
          </cell>
          <cell r="AZ362">
            <v>65563695.579999998</v>
          </cell>
          <cell r="BA362">
            <v>64063781.090000004</v>
          </cell>
          <cell r="BB362">
            <v>63790467.219999999</v>
          </cell>
          <cell r="BC362">
            <v>58624351.920000002</v>
          </cell>
          <cell r="BD362">
            <v>59807545.119999997</v>
          </cell>
          <cell r="BE362">
            <v>59612681.159999996</v>
          </cell>
          <cell r="BF362">
            <v>59073548.960000001</v>
          </cell>
          <cell r="BG362">
            <v>60545529.979999997</v>
          </cell>
          <cell r="BH362">
            <v>61309845.369999997</v>
          </cell>
          <cell r="BI362">
            <v>54177470.630000003</v>
          </cell>
          <cell r="BJ362">
            <v>55154882.039999999</v>
          </cell>
          <cell r="BK362">
            <v>54642885.32</v>
          </cell>
          <cell r="BL362">
            <v>60717020.740000002</v>
          </cell>
          <cell r="BM362">
            <v>60268408.109999999</v>
          </cell>
          <cell r="BN362">
            <v>59706553.939999998</v>
          </cell>
          <cell r="BO362">
            <v>58730161.640000001</v>
          </cell>
          <cell r="BP362">
            <v>58992034.229999997</v>
          </cell>
          <cell r="BQ362">
            <v>59300132.659999996</v>
          </cell>
          <cell r="BR362">
            <v>60374151.659999996</v>
          </cell>
          <cell r="BS362">
            <v>61913622.829999998</v>
          </cell>
          <cell r="BT362">
            <v>62777473.969999999</v>
          </cell>
          <cell r="BU362">
            <v>63721224.18</v>
          </cell>
          <cell r="BV362">
            <v>64965689.439999998</v>
          </cell>
          <cell r="BW362">
            <v>66260477.920000002</v>
          </cell>
          <cell r="BX362">
            <v>59279093.32</v>
          </cell>
          <cell r="BY362">
            <v>58204662.590000004</v>
          </cell>
          <cell r="BZ362">
            <v>57087959.560000002</v>
          </cell>
          <cell r="CA362">
            <v>55460333.850000001</v>
          </cell>
          <cell r="CB362">
            <v>55736615.840000004</v>
          </cell>
          <cell r="CC362">
            <v>56591434.200000003</v>
          </cell>
          <cell r="CD362">
            <v>56748333.649999999</v>
          </cell>
          <cell r="CE362">
            <v>57594851.039999999</v>
          </cell>
          <cell r="CF362">
            <v>59327815.600000001</v>
          </cell>
          <cell r="CG362">
            <v>61308654.770000003</v>
          </cell>
          <cell r="CH362">
            <v>62130549.609999999</v>
          </cell>
          <cell r="CI362">
            <v>64052460.899999999</v>
          </cell>
          <cell r="CJ362">
            <v>68727179.200000003</v>
          </cell>
          <cell r="CK362">
            <v>66872852.590000004</v>
          </cell>
          <cell r="CL362">
            <v>67088654.240000002</v>
          </cell>
          <cell r="CM362">
            <v>66899332.399999999</v>
          </cell>
          <cell r="CN362">
            <v>66154389.340000004</v>
          </cell>
          <cell r="CO362">
            <v>67223863.379999995</v>
          </cell>
          <cell r="CP362">
            <v>66801191.159999996</v>
          </cell>
          <cell r="CQ362">
            <v>68064928.430000007</v>
          </cell>
          <cell r="CR362">
            <v>67829718.359999999</v>
          </cell>
          <cell r="CS362">
            <v>65688168.5</v>
          </cell>
          <cell r="CT362">
            <v>66358192.200000003</v>
          </cell>
          <cell r="CU362">
            <v>67016220.299999997</v>
          </cell>
          <cell r="CV362">
            <v>56466288.780000001</v>
          </cell>
          <cell r="CW362">
            <v>55740239.829999998</v>
          </cell>
          <cell r="CX362">
            <v>55375879.479999997</v>
          </cell>
          <cell r="CY362">
            <v>54550646.530000001</v>
          </cell>
          <cell r="CZ362">
            <v>54527521.549999997</v>
          </cell>
          <cell r="DA362">
            <v>54957746.210000001</v>
          </cell>
          <cell r="DB362">
            <v>52713163.560000002</v>
          </cell>
          <cell r="DC362">
            <v>52786974.299999997</v>
          </cell>
          <cell r="DD362">
            <v>52966893.210000001</v>
          </cell>
          <cell r="DE362">
            <v>52715763.049999997</v>
          </cell>
          <cell r="DF362">
            <v>52642589.030000001</v>
          </cell>
          <cell r="DG362">
            <v>52853662.670000002</v>
          </cell>
          <cell r="DH362">
            <v>60509344.020000003</v>
          </cell>
        </row>
        <row r="363">
          <cell r="A363" t="str">
            <v>184</v>
          </cell>
          <cell r="D363">
            <v>5502.76</v>
          </cell>
          <cell r="E363">
            <v>5562.76</v>
          </cell>
          <cell r="F363">
            <v>5622.76</v>
          </cell>
          <cell r="G363">
            <v>5682.76</v>
          </cell>
          <cell r="H363">
            <v>5742.76</v>
          </cell>
          <cell r="I363">
            <v>5802.76</v>
          </cell>
          <cell r="J363">
            <v>5862.76</v>
          </cell>
          <cell r="K363">
            <v>5922.76</v>
          </cell>
          <cell r="L363">
            <v>5982.76</v>
          </cell>
          <cell r="M363">
            <v>6042.76</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41828.07</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60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row>
        <row r="364">
          <cell r="A364" t="str">
            <v>186</v>
          </cell>
          <cell r="D364">
            <v>86795.96</v>
          </cell>
          <cell r="E364">
            <v>88384</v>
          </cell>
          <cell r="F364">
            <v>89989.31</v>
          </cell>
          <cell r="G364">
            <v>90844.64</v>
          </cell>
          <cell r="H364">
            <v>99264.48</v>
          </cell>
          <cell r="I364">
            <v>110175.51</v>
          </cell>
          <cell r="J364">
            <v>76940.460000000006</v>
          </cell>
          <cell r="K364">
            <v>59996.959999999999</v>
          </cell>
          <cell r="L364">
            <v>58519.46</v>
          </cell>
          <cell r="M364">
            <v>62883.22</v>
          </cell>
          <cell r="N364">
            <v>65352.2</v>
          </cell>
          <cell r="O364">
            <v>65604.2</v>
          </cell>
          <cell r="P364">
            <v>68874.649999999994</v>
          </cell>
          <cell r="Q364">
            <v>72874.28</v>
          </cell>
          <cell r="R364">
            <v>72879.320000000007</v>
          </cell>
          <cell r="S364">
            <v>76937.59</v>
          </cell>
          <cell r="T364">
            <v>56464.08</v>
          </cell>
          <cell r="U364">
            <v>114055.15</v>
          </cell>
          <cell r="V364">
            <v>139182.43</v>
          </cell>
          <cell r="W364">
            <v>79661.02</v>
          </cell>
          <cell r="X364">
            <v>407401.19</v>
          </cell>
          <cell r="Y364">
            <v>86393.03</v>
          </cell>
          <cell r="Z364">
            <v>3023393.52</v>
          </cell>
          <cell r="AA364">
            <v>3042731.82</v>
          </cell>
          <cell r="AB364">
            <v>3094262.73</v>
          </cell>
          <cell r="AC364">
            <v>3112322.24</v>
          </cell>
          <cell r="AD364">
            <v>3065603.76</v>
          </cell>
          <cell r="AE364">
            <v>3067920.39</v>
          </cell>
          <cell r="AF364">
            <v>3047742.36</v>
          </cell>
          <cell r="AG364">
            <v>3055464.63</v>
          </cell>
          <cell r="AH364">
            <v>3119302.55</v>
          </cell>
          <cell r="AI364">
            <v>3121985.8</v>
          </cell>
          <cell r="AJ364">
            <v>3106111.38</v>
          </cell>
          <cell r="AK364">
            <v>3143326.13</v>
          </cell>
          <cell r="AL364">
            <v>3274674.05</v>
          </cell>
          <cell r="AM364">
            <v>3283633.05</v>
          </cell>
          <cell r="AN364">
            <v>3182525.91</v>
          </cell>
          <cell r="AO364">
            <v>5447463.8200000003</v>
          </cell>
          <cell r="AP364">
            <v>5569983.8399999999</v>
          </cell>
          <cell r="AQ364">
            <v>5818295.5199999996</v>
          </cell>
          <cell r="AR364">
            <v>5723860.1600000001</v>
          </cell>
          <cell r="AS364">
            <v>5479482.1699999999</v>
          </cell>
          <cell r="AT364">
            <v>5537860.1200000001</v>
          </cell>
          <cell r="AU364">
            <v>5519902.5300000003</v>
          </cell>
          <cell r="AV364">
            <v>5525335.5700000003</v>
          </cell>
          <cell r="AW364">
            <v>5875800.1799999997</v>
          </cell>
          <cell r="AX364">
            <v>5848790</v>
          </cell>
          <cell r="AY364">
            <v>5874261.7800000003</v>
          </cell>
          <cell r="AZ364">
            <v>5867409.79</v>
          </cell>
          <cell r="BA364">
            <v>5686522.4500000002</v>
          </cell>
          <cell r="BB364">
            <v>5505993.9000000004</v>
          </cell>
          <cell r="BC364">
            <v>5489642.5499999998</v>
          </cell>
          <cell r="BD364">
            <v>5558315.04</v>
          </cell>
          <cell r="BE364">
            <v>5458851.4900000002</v>
          </cell>
          <cell r="BF364">
            <v>5461383.29</v>
          </cell>
          <cell r="BG364">
            <v>5445856.5</v>
          </cell>
          <cell r="BH364">
            <v>5863401.9000000004</v>
          </cell>
          <cell r="BI364">
            <v>5499377.9000000004</v>
          </cell>
          <cell r="BJ364">
            <v>6672460.0999999996</v>
          </cell>
          <cell r="BK364">
            <v>8597608.7699999996</v>
          </cell>
          <cell r="BL364">
            <v>4935022.49</v>
          </cell>
          <cell r="BM364">
            <v>4709584.9800000004</v>
          </cell>
          <cell r="BN364">
            <v>4693554.62</v>
          </cell>
          <cell r="BO364">
            <v>4743537.0599999996</v>
          </cell>
          <cell r="BP364">
            <v>4700457.1100000003</v>
          </cell>
          <cell r="BQ364">
            <v>4691360.01</v>
          </cell>
          <cell r="BR364">
            <v>4652326.66</v>
          </cell>
          <cell r="BS364">
            <v>4601425.3499999996</v>
          </cell>
          <cell r="BT364">
            <v>4826382.2300000004</v>
          </cell>
          <cell r="BU364">
            <v>4959881.47</v>
          </cell>
          <cell r="BV364">
            <v>5116497.1900000004</v>
          </cell>
          <cell r="BW364">
            <v>5230025.42</v>
          </cell>
          <cell r="BX364">
            <v>4808374.83</v>
          </cell>
          <cell r="BY364">
            <v>4783536.91</v>
          </cell>
          <cell r="BZ364">
            <v>4610861.2699999996</v>
          </cell>
          <cell r="CA364">
            <v>4826250.2699999996</v>
          </cell>
          <cell r="CB364">
            <v>5037155.99</v>
          </cell>
          <cell r="CC364">
            <v>5296520.25</v>
          </cell>
          <cell r="CD364">
            <v>5309226.71</v>
          </cell>
          <cell r="CE364">
            <v>5354947.1900000004</v>
          </cell>
          <cell r="CF364">
            <v>5668632.0099999998</v>
          </cell>
          <cell r="CG364">
            <v>5861777.6100000003</v>
          </cell>
          <cell r="CH364">
            <v>5983318.75</v>
          </cell>
          <cell r="CI364">
            <v>5433728.5</v>
          </cell>
          <cell r="CJ364">
            <v>4055964.52</v>
          </cell>
          <cell r="CK364">
            <v>3810403.26</v>
          </cell>
          <cell r="CL364">
            <v>3795174.17</v>
          </cell>
          <cell r="CM364">
            <v>3785750.17</v>
          </cell>
          <cell r="CN364">
            <v>3774421.15</v>
          </cell>
          <cell r="CO364">
            <v>3761819.25</v>
          </cell>
          <cell r="CP364">
            <v>3746231.45</v>
          </cell>
          <cell r="CQ364">
            <v>3742718.57</v>
          </cell>
          <cell r="CR364">
            <v>3724865.07</v>
          </cell>
          <cell r="CS364">
            <v>3706772.49</v>
          </cell>
          <cell r="CT364">
            <v>3783611.99</v>
          </cell>
          <cell r="CU364">
            <v>3738390.59</v>
          </cell>
          <cell r="CV364">
            <v>4082430.84</v>
          </cell>
          <cell r="CW364">
            <v>4002643.05</v>
          </cell>
          <cell r="CX364">
            <v>3717907.08</v>
          </cell>
          <cell r="CY364">
            <v>3508657.6</v>
          </cell>
          <cell r="CZ364">
            <v>3705105.68</v>
          </cell>
          <cell r="DA364">
            <v>3751020.53</v>
          </cell>
          <cell r="DB364">
            <v>3782089.44</v>
          </cell>
          <cell r="DC364">
            <v>3745722.98</v>
          </cell>
          <cell r="DD364">
            <v>3778373.72</v>
          </cell>
          <cell r="DE364">
            <v>3794293.23</v>
          </cell>
          <cell r="DF364">
            <v>3848791.82</v>
          </cell>
          <cell r="DG364">
            <v>3863670.33</v>
          </cell>
          <cell r="DH364">
            <v>4343041.1900000004</v>
          </cell>
        </row>
        <row r="365">
          <cell r="A365" t="str">
            <v>189</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row>
        <row r="366">
          <cell r="A366" t="str">
            <v>190</v>
          </cell>
          <cell r="D366">
            <v>33632569.399999999</v>
          </cell>
          <cell r="E366">
            <v>34115887.170000002</v>
          </cell>
          <cell r="F366">
            <v>33476442.25</v>
          </cell>
          <cell r="G366">
            <v>33438251.449999999</v>
          </cell>
          <cell r="H366">
            <v>34168992.740000002</v>
          </cell>
          <cell r="I366">
            <v>33607386.25</v>
          </cell>
          <cell r="J366">
            <v>33202927.829999998</v>
          </cell>
          <cell r="K366">
            <v>34007322.810000002</v>
          </cell>
          <cell r="L366">
            <v>32991204.550000001</v>
          </cell>
          <cell r="M366">
            <v>33564193.740000002</v>
          </cell>
          <cell r="N366">
            <v>34746329.539999999</v>
          </cell>
          <cell r="O366">
            <v>31973533.969999999</v>
          </cell>
          <cell r="P366">
            <v>35824575.880000003</v>
          </cell>
          <cell r="Q366">
            <v>36311754.649999999</v>
          </cell>
          <cell r="R366">
            <v>34870467.409999996</v>
          </cell>
          <cell r="S366">
            <v>35437049.509999998</v>
          </cell>
          <cell r="T366">
            <v>35337998.43</v>
          </cell>
          <cell r="U366">
            <v>35258929.229999997</v>
          </cell>
          <cell r="V366">
            <v>34305872.170000002</v>
          </cell>
          <cell r="W366">
            <v>34334123.57</v>
          </cell>
          <cell r="X366">
            <v>35158976.829999998</v>
          </cell>
          <cell r="Y366">
            <v>35281260.710000001</v>
          </cell>
          <cell r="Z366">
            <v>35947425.719999999</v>
          </cell>
          <cell r="AA366">
            <v>36112242.049999997</v>
          </cell>
          <cell r="AB366">
            <v>38423221.93</v>
          </cell>
          <cell r="AC366">
            <v>38148757.689999998</v>
          </cell>
          <cell r="AD366">
            <v>37941736.039999999</v>
          </cell>
          <cell r="AE366">
            <v>37398992.289999999</v>
          </cell>
          <cell r="AF366">
            <v>37003099.119999997</v>
          </cell>
          <cell r="AG366">
            <v>36995409.409999996</v>
          </cell>
          <cell r="AH366">
            <v>36049062.399999999</v>
          </cell>
          <cell r="AI366">
            <v>36156380.880000003</v>
          </cell>
          <cell r="AJ366">
            <v>36602801.350000001</v>
          </cell>
          <cell r="AK366">
            <v>40013408.030000001</v>
          </cell>
          <cell r="AL366">
            <v>39966717.700000003</v>
          </cell>
          <cell r="AM366">
            <v>39774589.039999999</v>
          </cell>
          <cell r="AN366">
            <v>47861884.270000003</v>
          </cell>
          <cell r="AO366">
            <v>48216616.659999996</v>
          </cell>
          <cell r="AP366">
            <v>46704516.270000003</v>
          </cell>
          <cell r="AQ366">
            <v>47090265.090000004</v>
          </cell>
          <cell r="AR366">
            <v>47407657.259999998</v>
          </cell>
          <cell r="AS366">
            <v>47433163.060000002</v>
          </cell>
          <cell r="AT366">
            <v>47955941.990000002</v>
          </cell>
          <cell r="AU366">
            <v>48144508.670000002</v>
          </cell>
          <cell r="AV366">
            <v>48101782.039999999</v>
          </cell>
          <cell r="AW366">
            <v>50081276.340000004</v>
          </cell>
          <cell r="AX366">
            <v>50006575.43</v>
          </cell>
          <cell r="AY366">
            <v>50110547.240000002</v>
          </cell>
          <cell r="AZ366">
            <v>48257584.149999999</v>
          </cell>
          <cell r="BA366">
            <v>48838259.310000002</v>
          </cell>
          <cell r="BB366">
            <v>48545168.710000001</v>
          </cell>
          <cell r="BC366">
            <v>49500818.460000001</v>
          </cell>
          <cell r="BD366">
            <v>49805606.399999999</v>
          </cell>
          <cell r="BE366">
            <v>50060779.259999998</v>
          </cell>
          <cell r="BF366">
            <v>50103163.07</v>
          </cell>
          <cell r="BG366">
            <v>50170800.890000001</v>
          </cell>
          <cell r="BH366">
            <v>50206779.840000004</v>
          </cell>
          <cell r="BI366">
            <v>51841777.100000001</v>
          </cell>
          <cell r="BJ366">
            <v>51915224.390000001</v>
          </cell>
          <cell r="BK366">
            <v>52443292.640000001</v>
          </cell>
          <cell r="BL366">
            <v>53579534.350000001</v>
          </cell>
          <cell r="BM366">
            <v>53810178.520000003</v>
          </cell>
          <cell r="BN366">
            <v>53025245.880000003</v>
          </cell>
          <cell r="BO366">
            <v>53554503.890000001</v>
          </cell>
          <cell r="BP366">
            <v>53675832.280000001</v>
          </cell>
          <cell r="BQ366">
            <v>53712964.659999996</v>
          </cell>
          <cell r="BR366">
            <v>53733761.479999997</v>
          </cell>
          <cell r="BS366">
            <v>54023538.009999998</v>
          </cell>
          <cell r="BT366">
            <v>54120208.020000003</v>
          </cell>
          <cell r="BU366">
            <v>53966607.810000002</v>
          </cell>
          <cell r="BV366">
            <v>54087865.170000002</v>
          </cell>
          <cell r="BW366">
            <v>54371823.479999997</v>
          </cell>
          <cell r="BX366">
            <v>54966422.409999996</v>
          </cell>
          <cell r="BY366">
            <v>55524351.119999997</v>
          </cell>
          <cell r="BZ366">
            <v>54592508.079999998</v>
          </cell>
          <cell r="CA366">
            <v>54777939.390000001</v>
          </cell>
          <cell r="CB366">
            <v>55026802.189999998</v>
          </cell>
          <cell r="CC366">
            <v>55161969.799999997</v>
          </cell>
          <cell r="CD366">
            <v>55446318.920000002</v>
          </cell>
          <cell r="CE366">
            <v>55534916.149999999</v>
          </cell>
          <cell r="CF366">
            <v>55479405.710000001</v>
          </cell>
          <cell r="CG366">
            <v>55670420.039999999</v>
          </cell>
          <cell r="CH366">
            <v>56074141.859999999</v>
          </cell>
          <cell r="CI366">
            <v>55851066.880000003</v>
          </cell>
          <cell r="CJ366">
            <v>58693568.859999999</v>
          </cell>
          <cell r="CK366">
            <v>59351200.259999998</v>
          </cell>
          <cell r="CL366">
            <v>59691522.689999998</v>
          </cell>
          <cell r="CM366">
            <v>57907116.579999998</v>
          </cell>
          <cell r="CN366">
            <v>58338223.229999997</v>
          </cell>
          <cell r="CO366">
            <v>58283557.43</v>
          </cell>
          <cell r="CP366">
            <v>58536297.549999997</v>
          </cell>
          <cell r="CQ366">
            <v>58652680.020000003</v>
          </cell>
          <cell r="CR366">
            <v>58933954.409999996</v>
          </cell>
          <cell r="CS366">
            <v>59497046.469999999</v>
          </cell>
          <cell r="CT366">
            <v>58863673.240000002</v>
          </cell>
          <cell r="CU366">
            <v>59548096.990000002</v>
          </cell>
          <cell r="CV366">
            <v>58824206.109999999</v>
          </cell>
          <cell r="CW366">
            <v>59182826.119999997</v>
          </cell>
          <cell r="CX366">
            <v>60411842.740000002</v>
          </cell>
          <cell r="CY366">
            <v>58537919.140000001</v>
          </cell>
          <cell r="CZ366">
            <v>58883217.75</v>
          </cell>
          <cell r="DA366">
            <v>59124026.039999999</v>
          </cell>
          <cell r="DB366">
            <v>59227864.950000003</v>
          </cell>
          <cell r="DC366">
            <v>59234740.399999999</v>
          </cell>
          <cell r="DD366">
            <v>58915849.07</v>
          </cell>
          <cell r="DE366">
            <v>59442146.409999996</v>
          </cell>
          <cell r="DF366">
            <v>59602496.130000003</v>
          </cell>
          <cell r="DG366">
            <v>59999366.060000002</v>
          </cell>
          <cell r="DH366">
            <v>62146609.060000002</v>
          </cell>
        </row>
        <row r="367">
          <cell r="A367" t="str">
            <v>191</v>
          </cell>
          <cell r="D367">
            <v>3028976.22</v>
          </cell>
          <cell r="E367">
            <v>2328317.7000000002</v>
          </cell>
          <cell r="F367">
            <v>-2690380.3</v>
          </cell>
          <cell r="G367">
            <v>-1871187.3</v>
          </cell>
          <cell r="H367">
            <v>-3825481.06</v>
          </cell>
          <cell r="I367">
            <v>-1871385.06</v>
          </cell>
          <cell r="J367">
            <v>-3731579.99</v>
          </cell>
          <cell r="K367">
            <v>-4495686.04</v>
          </cell>
          <cell r="L367">
            <v>-4685303.04</v>
          </cell>
          <cell r="M367">
            <v>-4415619.04</v>
          </cell>
          <cell r="N367">
            <v>-2426539.04</v>
          </cell>
          <cell r="O367">
            <v>3262109.96</v>
          </cell>
          <cell r="P367">
            <v>822722.06</v>
          </cell>
          <cell r="Q367">
            <v>399.06</v>
          </cell>
          <cell r="R367">
            <v>524581.06000000006</v>
          </cell>
          <cell r="S367">
            <v>-1116131.94</v>
          </cell>
          <cell r="T367">
            <v>556285.06000000006</v>
          </cell>
          <cell r="U367">
            <v>1052618.06</v>
          </cell>
          <cell r="V367">
            <v>-1241463.94</v>
          </cell>
          <cell r="W367">
            <v>-106141.94</v>
          </cell>
          <cell r="X367">
            <v>-587029.93999999994</v>
          </cell>
          <cell r="Y367">
            <v>-165111.94</v>
          </cell>
          <cell r="Z367">
            <v>2251204.06</v>
          </cell>
          <cell r="AA367">
            <v>4566482.0599999996</v>
          </cell>
          <cell r="AB367">
            <v>4817531.07</v>
          </cell>
          <cell r="AC367">
            <v>3876662.07</v>
          </cell>
          <cell r="AD367">
            <v>-1124468.1299999999</v>
          </cell>
          <cell r="AE367">
            <v>-2680714.13</v>
          </cell>
          <cell r="AF367">
            <v>-3391795.13</v>
          </cell>
          <cell r="AG367">
            <v>-4918154.13</v>
          </cell>
          <cell r="AH367">
            <v>-6825029.1299999999</v>
          </cell>
          <cell r="AI367">
            <v>-8051702.46</v>
          </cell>
          <cell r="AJ367">
            <v>-8821966.4600000009</v>
          </cell>
          <cell r="AK367">
            <v>-8283926.46</v>
          </cell>
          <cell r="AL367">
            <v>-5545722.46</v>
          </cell>
          <cell r="AM367">
            <v>-2658041.46</v>
          </cell>
          <cell r="AN367">
            <v>-2176669.4</v>
          </cell>
          <cell r="AO367">
            <v>-2642346.4</v>
          </cell>
          <cell r="AP367">
            <v>-5804990.4100000001</v>
          </cell>
          <cell r="AQ367">
            <v>-2294854.41</v>
          </cell>
          <cell r="AR367">
            <v>-3251333.41</v>
          </cell>
          <cell r="AS367">
            <v>-3259418.41</v>
          </cell>
          <cell r="AT367">
            <v>-2333782.41</v>
          </cell>
          <cell r="AU367">
            <v>-1140359.77</v>
          </cell>
          <cell r="AV367">
            <v>62853.23</v>
          </cell>
          <cell r="AW367">
            <v>-1125284.77</v>
          </cell>
          <cell r="AX367">
            <v>2293438.23</v>
          </cell>
          <cell r="AY367">
            <v>3505808.23</v>
          </cell>
          <cell r="AZ367">
            <v>2834666.07</v>
          </cell>
          <cell r="BA367">
            <v>-2384064.9300000002</v>
          </cell>
          <cell r="BB367">
            <v>-8545555.9299999997</v>
          </cell>
          <cell r="BC367">
            <v>-5868120.9299999997</v>
          </cell>
          <cell r="BD367">
            <v>-9522977.9299999997</v>
          </cell>
          <cell r="BE367">
            <v>-9400213.9299999997</v>
          </cell>
          <cell r="BF367">
            <v>-9953193.9299999997</v>
          </cell>
          <cell r="BG367">
            <v>-10094426.199999999</v>
          </cell>
          <cell r="BH367">
            <v>-9688297.1999999993</v>
          </cell>
          <cell r="BI367">
            <v>-10202183.199999999</v>
          </cell>
          <cell r="BJ367">
            <v>-7149370.25</v>
          </cell>
          <cell r="BK367">
            <v>-834981.25</v>
          </cell>
          <cell r="BL367">
            <v>2412177.34</v>
          </cell>
          <cell r="BM367">
            <v>629810.18999999994</v>
          </cell>
          <cell r="BN367">
            <v>-2764299.81</v>
          </cell>
          <cell r="BO367">
            <v>-3806517.81</v>
          </cell>
          <cell r="BP367">
            <v>-6734309.8099999996</v>
          </cell>
          <cell r="BQ367">
            <v>-9153064.8100000005</v>
          </cell>
          <cell r="BR367">
            <v>-10301394.810000001</v>
          </cell>
          <cell r="BS367">
            <v>-10461658.810000001</v>
          </cell>
          <cell r="BT367">
            <v>-8902055.8100000005</v>
          </cell>
          <cell r="BU367">
            <v>-9455812.4700000007</v>
          </cell>
          <cell r="BV367">
            <v>-6835541.4699999997</v>
          </cell>
          <cell r="BW367">
            <v>-4507606.47</v>
          </cell>
          <cell r="BX367">
            <v>-5610499.4699999997</v>
          </cell>
          <cell r="BY367">
            <v>-9000597.4700000007</v>
          </cell>
          <cell r="BZ367">
            <v>-12085260.640000001</v>
          </cell>
          <cell r="CA367">
            <v>-13315276.640000001</v>
          </cell>
          <cell r="CB367">
            <v>-13955912.640000001</v>
          </cell>
          <cell r="CC367">
            <v>-13419803.640000001</v>
          </cell>
          <cell r="CD367">
            <v>-14069898.640000001</v>
          </cell>
          <cell r="CE367">
            <v>-13486354.640000001</v>
          </cell>
          <cell r="CF367">
            <v>-10977932.640000001</v>
          </cell>
          <cell r="CG367">
            <v>-10183908.800000001</v>
          </cell>
          <cell r="CH367">
            <v>-6168093.7999999998</v>
          </cell>
          <cell r="CI367">
            <v>-2672343.9900000002</v>
          </cell>
          <cell r="CJ367">
            <v>-1887381.02</v>
          </cell>
          <cell r="CK367">
            <v>-5514359.0199999996</v>
          </cell>
          <cell r="CL367">
            <v>-2984172.36</v>
          </cell>
          <cell r="CM367">
            <v>-1677602.36</v>
          </cell>
          <cell r="CN367">
            <v>-5499469.3600000003</v>
          </cell>
          <cell r="CO367">
            <v>-5895484.3600000003</v>
          </cell>
          <cell r="CP367">
            <v>-5154967.3600000003</v>
          </cell>
          <cell r="CQ367">
            <v>-5465947.3600000003</v>
          </cell>
          <cell r="CR367">
            <v>-4455322.3600000003</v>
          </cell>
          <cell r="CS367">
            <v>-2979201.54</v>
          </cell>
          <cell r="CT367">
            <v>4737406.46</v>
          </cell>
          <cell r="CU367">
            <v>12530134.949999999</v>
          </cell>
          <cell r="CV367">
            <v>12048953.949999999</v>
          </cell>
          <cell r="CW367">
            <v>7487262.9500000002</v>
          </cell>
          <cell r="CX367">
            <v>2120776.94</v>
          </cell>
          <cell r="CY367">
            <v>2683951.5</v>
          </cell>
          <cell r="CZ367">
            <v>-1958647.8</v>
          </cell>
          <cell r="DA367">
            <v>-376233.8</v>
          </cell>
          <cell r="DB367">
            <v>-676002.8</v>
          </cell>
          <cell r="DC367">
            <v>-1437703.8</v>
          </cell>
          <cell r="DD367">
            <v>-5007899.25</v>
          </cell>
          <cell r="DE367">
            <v>-10208061.42</v>
          </cell>
          <cell r="DF367">
            <v>-13346907.42</v>
          </cell>
          <cell r="DG367">
            <v>-3400043.42</v>
          </cell>
          <cell r="DH367">
            <v>2081892.58</v>
          </cell>
        </row>
        <row r="368">
          <cell r="A368" t="str">
            <v>207</v>
          </cell>
          <cell r="D368">
            <v>-5575333.3300000001</v>
          </cell>
          <cell r="E368">
            <v>-5575333.3300000001</v>
          </cell>
          <cell r="F368">
            <v>-5575333.3300000001</v>
          </cell>
          <cell r="G368">
            <v>-5575333.3300000001</v>
          </cell>
          <cell r="H368">
            <v>-5575333.3300000001</v>
          </cell>
          <cell r="I368">
            <v>-5575333.3300000001</v>
          </cell>
          <cell r="J368">
            <v>-5575333.3300000001</v>
          </cell>
          <cell r="K368">
            <v>-5575333.3300000001</v>
          </cell>
          <cell r="L368">
            <v>-5575333.3300000001</v>
          </cell>
          <cell r="M368">
            <v>-5575333.3300000001</v>
          </cell>
          <cell r="N368">
            <v>-5575333.3300000001</v>
          </cell>
          <cell r="O368">
            <v>-5575333.3300000001</v>
          </cell>
          <cell r="P368">
            <v>-5575333.3300000001</v>
          </cell>
          <cell r="Q368">
            <v>-5575333.3300000001</v>
          </cell>
          <cell r="R368">
            <v>-5575333.3300000001</v>
          </cell>
          <cell r="S368">
            <v>-5575333.3300000001</v>
          </cell>
          <cell r="T368">
            <v>-5575333.3300000001</v>
          </cell>
          <cell r="U368">
            <v>-5575333.3300000001</v>
          </cell>
          <cell r="V368">
            <v>-5575333.3300000001</v>
          </cell>
          <cell r="W368">
            <v>-5575333.3300000001</v>
          </cell>
          <cell r="X368">
            <v>-5575333.3300000001</v>
          </cell>
          <cell r="Y368">
            <v>-5575333.3300000001</v>
          </cell>
          <cell r="Z368">
            <v>-5575333.3300000001</v>
          </cell>
          <cell r="AA368">
            <v>-5575333.3300000001</v>
          </cell>
          <cell r="AB368">
            <v>-5575333.3300000001</v>
          </cell>
          <cell r="AC368">
            <v>-5575333.3300000001</v>
          </cell>
          <cell r="AD368">
            <v>-5575333.3300000001</v>
          </cell>
          <cell r="AE368">
            <v>-5575333.3300000001</v>
          </cell>
          <cell r="AF368">
            <v>-5575333.3300000001</v>
          </cell>
          <cell r="AG368">
            <v>-5575333.3300000001</v>
          </cell>
          <cell r="AH368">
            <v>-5575333.3300000001</v>
          </cell>
          <cell r="AI368">
            <v>-5575333.3300000001</v>
          </cell>
          <cell r="AJ368">
            <v>-5575333.3300000001</v>
          </cell>
          <cell r="AK368">
            <v>-5575333.3300000001</v>
          </cell>
          <cell r="AL368">
            <v>-5575333.3300000001</v>
          </cell>
          <cell r="AM368">
            <v>-5575333.3300000001</v>
          </cell>
          <cell r="AN368">
            <v>-5575333.3300000001</v>
          </cell>
          <cell r="AO368">
            <v>-5575333.3300000001</v>
          </cell>
          <cell r="AP368">
            <v>-5575333.3300000001</v>
          </cell>
          <cell r="AQ368">
            <v>-5575333.3300000001</v>
          </cell>
          <cell r="AR368">
            <v>-5575333.3300000001</v>
          </cell>
          <cell r="AS368">
            <v>-5575333.3300000001</v>
          </cell>
          <cell r="AT368">
            <v>-5575333.3300000001</v>
          </cell>
          <cell r="AU368">
            <v>-5575333.3300000001</v>
          </cell>
          <cell r="AV368">
            <v>-5575333.3300000001</v>
          </cell>
          <cell r="AW368">
            <v>-5575333.3300000001</v>
          </cell>
          <cell r="AX368">
            <v>-5575333.3300000001</v>
          </cell>
          <cell r="AY368">
            <v>-5575333.3300000001</v>
          </cell>
          <cell r="AZ368">
            <v>-5575333.3300000001</v>
          </cell>
          <cell r="BA368">
            <v>-5575333.3300000001</v>
          </cell>
          <cell r="BB368">
            <v>-5575333.3300000001</v>
          </cell>
          <cell r="BC368">
            <v>-5575333.3300000001</v>
          </cell>
          <cell r="BD368">
            <v>-5575333.3300000001</v>
          </cell>
          <cell r="BE368">
            <v>-5575333.3300000001</v>
          </cell>
          <cell r="BF368">
            <v>-5575333.3300000001</v>
          </cell>
          <cell r="BG368">
            <v>-5575333.3300000001</v>
          </cell>
          <cell r="BH368">
            <v>-5575333.3300000001</v>
          </cell>
          <cell r="BI368">
            <v>-5575333.3300000001</v>
          </cell>
          <cell r="BJ368">
            <v>-5575333.3300000001</v>
          </cell>
          <cell r="BK368">
            <v>-5575333.3300000001</v>
          </cell>
          <cell r="BL368">
            <v>-5575333.3300000001</v>
          </cell>
          <cell r="BM368">
            <v>-5575333.3300000001</v>
          </cell>
          <cell r="BN368">
            <v>-5575333.3300000001</v>
          </cell>
          <cell r="BO368">
            <v>-5575333.3300000001</v>
          </cell>
          <cell r="BP368">
            <v>-5575333.3300000001</v>
          </cell>
          <cell r="BQ368">
            <v>-5575333.3300000001</v>
          </cell>
          <cell r="BR368">
            <v>-5575333.3300000001</v>
          </cell>
          <cell r="BS368">
            <v>-5575333.3300000001</v>
          </cell>
          <cell r="BT368">
            <v>-5575333.3300000001</v>
          </cell>
          <cell r="BU368">
            <v>-5575333.3300000001</v>
          </cell>
          <cell r="BV368">
            <v>-5575333.3300000001</v>
          </cell>
          <cell r="BW368">
            <v>-5575333.3300000001</v>
          </cell>
          <cell r="BX368">
            <v>-5575333.3300000001</v>
          </cell>
          <cell r="BY368">
            <v>-5575333.3300000001</v>
          </cell>
          <cell r="BZ368">
            <v>-5575333.3300000001</v>
          </cell>
          <cell r="CA368">
            <v>-5575333.3300000001</v>
          </cell>
          <cell r="CB368">
            <v>-5575333.3300000001</v>
          </cell>
          <cell r="CC368">
            <v>-5575333.3300000001</v>
          </cell>
          <cell r="CD368">
            <v>-5575333.3300000001</v>
          </cell>
          <cell r="CE368">
            <v>-5575333.3300000001</v>
          </cell>
          <cell r="CF368">
            <v>-5575333.3300000001</v>
          </cell>
          <cell r="CG368">
            <v>-5575333.3300000001</v>
          </cell>
          <cell r="CH368">
            <v>-5575333.3300000001</v>
          </cell>
          <cell r="CI368">
            <v>-5575333.3300000001</v>
          </cell>
          <cell r="CJ368">
            <v>-5575333.3300000001</v>
          </cell>
          <cell r="CK368">
            <v>-5575333.3300000001</v>
          </cell>
          <cell r="CL368">
            <v>-5575333.3300000001</v>
          </cell>
          <cell r="CM368">
            <v>-5575333.3300000001</v>
          </cell>
          <cell r="CN368">
            <v>-5575333.3300000001</v>
          </cell>
          <cell r="CO368">
            <v>-5575333.3300000001</v>
          </cell>
          <cell r="CP368">
            <v>-5575333.3300000001</v>
          </cell>
          <cell r="CQ368">
            <v>-5575333.3300000001</v>
          </cell>
          <cell r="CR368">
            <v>-5575333.3300000001</v>
          </cell>
          <cell r="CS368">
            <v>-5575333.3300000001</v>
          </cell>
          <cell r="CT368">
            <v>-5575333.3300000001</v>
          </cell>
          <cell r="CU368">
            <v>-5575333.3300000001</v>
          </cell>
          <cell r="CV368">
            <v>-5575333.3300000001</v>
          </cell>
          <cell r="CW368">
            <v>-5575333.3300000001</v>
          </cell>
          <cell r="CX368">
            <v>-5575333.3300000001</v>
          </cell>
          <cell r="CY368">
            <v>-5575333.3300000001</v>
          </cell>
          <cell r="CZ368">
            <v>-5575333.3300000001</v>
          </cell>
          <cell r="DA368">
            <v>-5575333.3300000001</v>
          </cell>
          <cell r="DB368">
            <v>-5575333.3300000001</v>
          </cell>
          <cell r="DC368">
            <v>-5575333.3300000001</v>
          </cell>
          <cell r="DD368">
            <v>-5575333.3300000001</v>
          </cell>
          <cell r="DE368">
            <v>-5575333.3300000001</v>
          </cell>
          <cell r="DF368">
            <v>-5575333.3300000001</v>
          </cell>
          <cell r="DG368">
            <v>-5575333.3300000001</v>
          </cell>
          <cell r="DH368">
            <v>-5575333.3300000001</v>
          </cell>
        </row>
        <row r="369">
          <cell r="A369" t="str">
            <v>211</v>
          </cell>
          <cell r="D369">
            <v>-179974835.86000001</v>
          </cell>
          <cell r="E369">
            <v>-179974835.86000001</v>
          </cell>
          <cell r="F369">
            <v>-186974835.86000001</v>
          </cell>
          <cell r="G369">
            <v>-186974835.86000001</v>
          </cell>
          <cell r="H369">
            <v>-186974835.86000001</v>
          </cell>
          <cell r="I369">
            <v>-196974835.86000001</v>
          </cell>
          <cell r="J369">
            <v>-196974835.86000001</v>
          </cell>
          <cell r="K369">
            <v>-196974835.86000001</v>
          </cell>
          <cell r="L369">
            <v>-199474835.86000001</v>
          </cell>
          <cell r="M369">
            <v>-199474835.86000001</v>
          </cell>
          <cell r="N369">
            <v>-199474835.86000001</v>
          </cell>
          <cell r="O369">
            <v>-204974835.86000001</v>
          </cell>
          <cell r="P369">
            <v>-204974835.86000001</v>
          </cell>
          <cell r="Q369">
            <v>-204974835.86000001</v>
          </cell>
          <cell r="R369">
            <v>-204974835.86000001</v>
          </cell>
          <cell r="S369">
            <v>-204974835.86000001</v>
          </cell>
          <cell r="T369">
            <v>-204974835.86000001</v>
          </cell>
          <cell r="U369">
            <v>-214974835.86000001</v>
          </cell>
          <cell r="V369">
            <v>-214974835.86000001</v>
          </cell>
          <cell r="W369">
            <v>-214974835.86000001</v>
          </cell>
          <cell r="X369">
            <v>-222974835.86000001</v>
          </cell>
          <cell r="Y369">
            <v>-222974835.86000001</v>
          </cell>
          <cell r="Z369">
            <v>-222974835.86000001</v>
          </cell>
          <cell r="AA369">
            <v>-229974835.86000001</v>
          </cell>
          <cell r="AB369">
            <v>-229974835.86000001</v>
          </cell>
          <cell r="AC369">
            <v>-229974835.86000001</v>
          </cell>
          <cell r="AD369">
            <v>-229974835.86000001</v>
          </cell>
          <cell r="AE369">
            <v>-229974835.86000001</v>
          </cell>
          <cell r="AF369">
            <v>-229974835.86000001</v>
          </cell>
          <cell r="AG369">
            <v>-229974835.86000001</v>
          </cell>
          <cell r="AH369">
            <v>-229974835.86000001</v>
          </cell>
          <cell r="AI369">
            <v>-229974835.86000001</v>
          </cell>
          <cell r="AJ369">
            <v>-229974835.86000001</v>
          </cell>
          <cell r="AK369">
            <v>-229974835.86000001</v>
          </cell>
          <cell r="AL369">
            <v>-229974835.86000001</v>
          </cell>
          <cell r="AM369">
            <v>-229974835.86000001</v>
          </cell>
          <cell r="AN369">
            <v>-229974835.86000001</v>
          </cell>
          <cell r="AO369">
            <v>-229974835.86000001</v>
          </cell>
          <cell r="AP369">
            <v>-236974835.86000001</v>
          </cell>
          <cell r="AQ369">
            <v>-236974835.86000001</v>
          </cell>
          <cell r="AR369">
            <v>-236974835.86000001</v>
          </cell>
          <cell r="AS369">
            <v>-252974835.86000001</v>
          </cell>
          <cell r="AT369">
            <v>-252974835.86000001</v>
          </cell>
          <cell r="AU369">
            <v>-252974835.86000001</v>
          </cell>
          <cell r="AV369">
            <v>-262974835.86000001</v>
          </cell>
          <cell r="AW369">
            <v>-262974835.86000001</v>
          </cell>
          <cell r="AX369">
            <v>-262974835.86000001</v>
          </cell>
          <cell r="AY369">
            <v>-269974835.86000001</v>
          </cell>
          <cell r="AZ369">
            <v>-269974835.86000001</v>
          </cell>
          <cell r="BA369">
            <v>-269974835.86000001</v>
          </cell>
          <cell r="BB369">
            <v>-279974835.86000001</v>
          </cell>
          <cell r="BC369">
            <v>-279974835.86000001</v>
          </cell>
          <cell r="BD369">
            <v>-279974835.86000001</v>
          </cell>
          <cell r="BE369">
            <v>-294974835.86000001</v>
          </cell>
          <cell r="BF369">
            <v>-294974835.86000001</v>
          </cell>
          <cell r="BG369">
            <v>-294974835.86000001</v>
          </cell>
          <cell r="BH369">
            <v>-304974835.86000001</v>
          </cell>
          <cell r="BI369">
            <v>-304974835.86000001</v>
          </cell>
          <cell r="BJ369">
            <v>-304974835.86000001</v>
          </cell>
          <cell r="BK369">
            <v>-314974835.86000001</v>
          </cell>
          <cell r="BL369">
            <v>-314974835.86000001</v>
          </cell>
          <cell r="BM369">
            <v>-314974835.86000001</v>
          </cell>
          <cell r="BN369">
            <v>-349974835.86000001</v>
          </cell>
          <cell r="BO369">
            <v>-349974835.86000001</v>
          </cell>
          <cell r="BP369">
            <v>-349974835.86000001</v>
          </cell>
          <cell r="BQ369">
            <v>-384974835.86000001</v>
          </cell>
          <cell r="BR369">
            <v>-384974835.86000001</v>
          </cell>
          <cell r="BS369">
            <v>-384974835.86000001</v>
          </cell>
          <cell r="BT369">
            <v>-384974835.86000001</v>
          </cell>
          <cell r="BU369">
            <v>-409974835.86000001</v>
          </cell>
          <cell r="BV369">
            <v>-409974835.86000001</v>
          </cell>
          <cell r="BW369">
            <v>-409974835.86000001</v>
          </cell>
          <cell r="BX369">
            <v>-409974835.86000001</v>
          </cell>
          <cell r="BY369">
            <v>-409974835.86000001</v>
          </cell>
          <cell r="BZ369">
            <v>-449974835.86000001</v>
          </cell>
          <cell r="CA369">
            <v>-449974835.86000001</v>
          </cell>
          <cell r="CB369">
            <v>-449974835.86000001</v>
          </cell>
          <cell r="CC369">
            <v>-479974835.86000001</v>
          </cell>
          <cell r="CD369">
            <v>-479974835.86000001</v>
          </cell>
          <cell r="CE369">
            <v>-479974835.86000001</v>
          </cell>
          <cell r="CF369">
            <v>-524974835.86000001</v>
          </cell>
          <cell r="CG369">
            <v>-524974835.86000001</v>
          </cell>
          <cell r="CH369">
            <v>-524974835.86000001</v>
          </cell>
          <cell r="CI369">
            <v>-539974835.86000001</v>
          </cell>
          <cell r="CJ369">
            <v>-539974835.86000001</v>
          </cell>
          <cell r="CK369">
            <v>-539974835.86000001</v>
          </cell>
          <cell r="CL369">
            <v>-579974835.86000001</v>
          </cell>
          <cell r="CM369">
            <v>-579974835.86000001</v>
          </cell>
          <cell r="CN369">
            <v>-579974835.86000001</v>
          </cell>
          <cell r="CO369">
            <v>-599974835.86000001</v>
          </cell>
          <cell r="CP369">
            <v>-599974835.86000001</v>
          </cell>
          <cell r="CQ369">
            <v>-599974835.86000001</v>
          </cell>
          <cell r="CR369">
            <v>-634974835.86000001</v>
          </cell>
          <cell r="CS369">
            <v>-634974835.86000001</v>
          </cell>
          <cell r="CT369">
            <v>-634974835.86000001</v>
          </cell>
          <cell r="CU369">
            <v>-659974835.86000001</v>
          </cell>
          <cell r="CV369">
            <v>-659974835.86000001</v>
          </cell>
          <cell r="CW369">
            <v>-659974835.86000001</v>
          </cell>
          <cell r="CX369">
            <v>-734974835.86000001</v>
          </cell>
          <cell r="CY369">
            <v>-734974835.86000001</v>
          </cell>
          <cell r="CZ369">
            <v>-734974835.86000001</v>
          </cell>
          <cell r="DA369">
            <v>-764974835.86000001</v>
          </cell>
          <cell r="DB369">
            <v>-764974835.86000001</v>
          </cell>
          <cell r="DC369">
            <v>-764974835.86000001</v>
          </cell>
          <cell r="DD369">
            <v>-804974835.86000001</v>
          </cell>
          <cell r="DE369">
            <v>-804974835.86000001</v>
          </cell>
          <cell r="DF369">
            <v>-804974835.86000001</v>
          </cell>
          <cell r="DG369">
            <v>-829974835.86000001</v>
          </cell>
          <cell r="DH369">
            <v>-864974835.86000001</v>
          </cell>
        </row>
        <row r="370">
          <cell r="A370" t="str">
            <v>216</v>
          </cell>
          <cell r="D370">
            <v>-113841661.34999999</v>
          </cell>
          <cell r="E370">
            <v>-111660571.31</v>
          </cell>
          <cell r="F370">
            <v>-116163198.14999999</v>
          </cell>
          <cell r="G370">
            <v>-121045081.70999999</v>
          </cell>
          <cell r="H370">
            <v>-112372273.53999999</v>
          </cell>
          <cell r="I370">
            <v>-114186487.94</v>
          </cell>
          <cell r="J370">
            <v>-116665030.02</v>
          </cell>
          <cell r="K370">
            <v>-108377669.84</v>
          </cell>
          <cell r="L370">
            <v>-110088730.94000001</v>
          </cell>
          <cell r="M370">
            <v>-111423397.67999999</v>
          </cell>
          <cell r="N370">
            <v>-107968848.84</v>
          </cell>
          <cell r="O370">
            <v>-110793956.44</v>
          </cell>
          <cell r="P370">
            <v>-114523842.91999999</v>
          </cell>
          <cell r="Q370">
            <v>-120069519.97</v>
          </cell>
          <cell r="R370">
            <v>-118450787.73999999</v>
          </cell>
          <cell r="S370">
            <v>-122572270.42999999</v>
          </cell>
          <cell r="T370">
            <v>-110707125.28999999</v>
          </cell>
          <cell r="U370">
            <v>-113050943.02</v>
          </cell>
          <cell r="V370">
            <v>-115846763.8</v>
          </cell>
          <cell r="W370">
            <v>-108844000.88</v>
          </cell>
          <cell r="X370">
            <v>-111355677.53</v>
          </cell>
          <cell r="Y370">
            <v>-113216124.94</v>
          </cell>
          <cell r="Z370">
            <v>-115381134.81999999</v>
          </cell>
          <cell r="AA370">
            <v>-110047092.87</v>
          </cell>
          <cell r="AB370">
            <v>-112996126.16</v>
          </cell>
          <cell r="AC370">
            <v>-118293506.45</v>
          </cell>
          <cell r="AD370">
            <v>-117913111.88</v>
          </cell>
          <cell r="AE370">
            <v>-120286277.34999999</v>
          </cell>
          <cell r="AF370">
            <v>-123232291.81</v>
          </cell>
          <cell r="AG370">
            <v>-112306851.91000001</v>
          </cell>
          <cell r="AH370">
            <v>-105536923.00999999</v>
          </cell>
          <cell r="AI370">
            <v>-108153020.66</v>
          </cell>
          <cell r="AJ370">
            <v>-110172896.44</v>
          </cell>
          <cell r="AK370">
            <v>-112131872.52</v>
          </cell>
          <cell r="AL370">
            <v>-115075853.38</v>
          </cell>
          <cell r="AM370">
            <v>-112221907</v>
          </cell>
          <cell r="AN370">
            <v>-114275156.05</v>
          </cell>
          <cell r="AO370">
            <v>-119639984.92999999</v>
          </cell>
          <cell r="AP370">
            <v>-115503883.44</v>
          </cell>
          <cell r="AQ370">
            <v>-120040674.87</v>
          </cell>
          <cell r="AR370">
            <v>-123871642.90000001</v>
          </cell>
          <cell r="AS370">
            <v>-116300726.61</v>
          </cell>
          <cell r="AT370">
            <v>-118382345.68000001</v>
          </cell>
          <cell r="AU370">
            <v>-121141229.44</v>
          </cell>
          <cell r="AV370">
            <v>-111552004.88</v>
          </cell>
          <cell r="AW370">
            <v>-114259923.31</v>
          </cell>
          <cell r="AX370">
            <v>-116890073.22</v>
          </cell>
          <cell r="AY370">
            <v>-112995993.04000001</v>
          </cell>
          <cell r="AZ370">
            <v>-118580112.11</v>
          </cell>
          <cell r="BA370">
            <v>-127882218.40000001</v>
          </cell>
          <cell r="BB370">
            <v>-118020169.08999999</v>
          </cell>
          <cell r="BC370">
            <v>-119670737.80999999</v>
          </cell>
          <cell r="BD370">
            <v>-124975639.45</v>
          </cell>
          <cell r="BE370">
            <v>-112207660.15000001</v>
          </cell>
          <cell r="BF370">
            <v>-115304035.14999999</v>
          </cell>
          <cell r="BG370">
            <v>-118409305.34999999</v>
          </cell>
          <cell r="BH370">
            <v>-109851967.98999999</v>
          </cell>
          <cell r="BI370">
            <v>-113549918.5</v>
          </cell>
          <cell r="BJ370">
            <v>-116353191.73</v>
          </cell>
          <cell r="BK370">
            <v>-110539731.06</v>
          </cell>
          <cell r="BL370">
            <v>-116033086.81999999</v>
          </cell>
          <cell r="BM370">
            <v>-122651032.70999999</v>
          </cell>
          <cell r="BN370">
            <v>-116699202.21000001</v>
          </cell>
          <cell r="BO370">
            <v>-122195252.52</v>
          </cell>
          <cell r="BP370">
            <v>-127422182.71000001</v>
          </cell>
          <cell r="BQ370">
            <v>-114024685.78</v>
          </cell>
          <cell r="BR370">
            <v>-117789859.14999999</v>
          </cell>
          <cell r="BS370">
            <v>-120848674.53</v>
          </cell>
          <cell r="BT370">
            <v>-111115293.69000001</v>
          </cell>
          <cell r="BU370">
            <v>-114799153.32000001</v>
          </cell>
          <cell r="BV370">
            <v>-118224762.41000001</v>
          </cell>
          <cell r="BW370">
            <v>-112041843.11999999</v>
          </cell>
          <cell r="BX370">
            <v>-116103246.80999999</v>
          </cell>
          <cell r="BY370">
            <v>-123778864.42999999</v>
          </cell>
          <cell r="BZ370">
            <v>-117830680.34999999</v>
          </cell>
          <cell r="CA370">
            <v>-122675463.53</v>
          </cell>
          <cell r="CB370">
            <v>-126386191.80999999</v>
          </cell>
          <cell r="CC370">
            <v>-111533670.65000001</v>
          </cell>
          <cell r="CD370">
            <v>-114743463.79000001</v>
          </cell>
          <cell r="CE370">
            <v>-117839597.21000001</v>
          </cell>
          <cell r="CF370">
            <v>-111068552.06</v>
          </cell>
          <cell r="CG370">
            <v>-114483909.70999999</v>
          </cell>
          <cell r="CH370">
            <v>-117430787.00999999</v>
          </cell>
          <cell r="CI370">
            <v>-112251370.08999999</v>
          </cell>
          <cell r="CJ370">
            <v>-116870935.06999999</v>
          </cell>
          <cell r="CK370">
            <v>-128266422.39999999</v>
          </cell>
          <cell r="CL370">
            <v>-123619721.5</v>
          </cell>
          <cell r="CM370">
            <v>-131310521.97</v>
          </cell>
          <cell r="CN370">
            <v>-111908329.08</v>
          </cell>
          <cell r="CO370">
            <v>-117431751.22000001</v>
          </cell>
          <cell r="CP370">
            <v>-122874369.40000001</v>
          </cell>
          <cell r="CQ370">
            <v>-127308971.86</v>
          </cell>
          <cell r="CR370">
            <v>-113416725.28999999</v>
          </cell>
          <cell r="CS370">
            <v>-118972653.16</v>
          </cell>
          <cell r="CT370">
            <v>-124078340.31</v>
          </cell>
          <cell r="CU370">
            <v>-115121169.08</v>
          </cell>
          <cell r="CV370">
            <v>-120983768.86999999</v>
          </cell>
          <cell r="CW370">
            <v>-130771706.33</v>
          </cell>
          <cell r="CX370">
            <v>-122850966.69</v>
          </cell>
          <cell r="CY370">
            <v>-133757598.56</v>
          </cell>
          <cell r="CZ370">
            <v>-110923735.89</v>
          </cell>
          <cell r="DA370">
            <v>-117179080.2</v>
          </cell>
          <cell r="DB370">
            <v>-123837640.03</v>
          </cell>
          <cell r="DC370">
            <v>-128232838.38</v>
          </cell>
          <cell r="DD370">
            <v>-113171953.88</v>
          </cell>
          <cell r="DE370">
            <v>-120441962.30999999</v>
          </cell>
          <cell r="DF370">
            <v>-109018661.83</v>
          </cell>
          <cell r="DG370">
            <v>-114951680.89</v>
          </cell>
          <cell r="DH370">
            <v>-121058800.81999999</v>
          </cell>
        </row>
        <row r="371">
          <cell r="A371" t="str">
            <v>219</v>
          </cell>
          <cell r="D371">
            <v>1829349.5</v>
          </cell>
          <cell r="E371">
            <v>1806940.46</v>
          </cell>
          <cell r="F371">
            <v>1784531.42</v>
          </cell>
          <cell r="G371">
            <v>1762122.39</v>
          </cell>
          <cell r="H371">
            <v>1739168.69</v>
          </cell>
          <cell r="I371">
            <v>1723656.39</v>
          </cell>
          <cell r="J371">
            <v>1701229.69</v>
          </cell>
          <cell r="K371">
            <v>1678802.98</v>
          </cell>
          <cell r="L371">
            <v>1656376.27</v>
          </cell>
          <cell r="M371">
            <v>1633949.56</v>
          </cell>
          <cell r="N371">
            <v>1611522.85</v>
          </cell>
          <cell r="O371">
            <v>1589096.15</v>
          </cell>
          <cell r="P371">
            <v>1566669.44</v>
          </cell>
          <cell r="Q371">
            <v>1544242.72</v>
          </cell>
          <cell r="R371">
            <v>1521816.01</v>
          </cell>
          <cell r="S371">
            <v>1493100.1</v>
          </cell>
          <cell r="T371">
            <v>1361613.87</v>
          </cell>
          <cell r="U371">
            <v>1168927.3799999999</v>
          </cell>
          <cell r="V371">
            <v>1219531.99</v>
          </cell>
          <cell r="W371">
            <v>1197697.42</v>
          </cell>
          <cell r="X371">
            <v>1175862.8500000001</v>
          </cell>
          <cell r="Y371">
            <v>1154028.28</v>
          </cell>
          <cell r="Z371">
            <v>1132193.71</v>
          </cell>
          <cell r="AA371">
            <v>1110359.1299999999</v>
          </cell>
          <cell r="AB371">
            <v>1088524.56</v>
          </cell>
          <cell r="AC371">
            <v>1066689.98</v>
          </cell>
          <cell r="AD371">
            <v>1044855.42</v>
          </cell>
          <cell r="AE371">
            <v>1023020.84</v>
          </cell>
          <cell r="AF371">
            <v>1001186.26</v>
          </cell>
          <cell r="AG371">
            <v>979351.69</v>
          </cell>
          <cell r="AH371">
            <v>957517.11</v>
          </cell>
          <cell r="AI371">
            <v>935682.55</v>
          </cell>
          <cell r="AJ371">
            <v>913847.97</v>
          </cell>
          <cell r="AK371">
            <v>892013.4</v>
          </cell>
          <cell r="AL371">
            <v>870178.82</v>
          </cell>
          <cell r="AM371">
            <v>848344.25</v>
          </cell>
          <cell r="AN371">
            <v>826509.69</v>
          </cell>
          <cell r="AO371">
            <v>804675.11</v>
          </cell>
          <cell r="AP371">
            <v>782840.54</v>
          </cell>
          <cell r="AQ371">
            <v>761005.96</v>
          </cell>
          <cell r="AR371">
            <v>739171.39</v>
          </cell>
          <cell r="AS371">
            <v>717336.82</v>
          </cell>
          <cell r="AT371">
            <v>695502.25</v>
          </cell>
          <cell r="AU371">
            <v>673667.67</v>
          </cell>
          <cell r="AV371">
            <v>651833.1</v>
          </cell>
          <cell r="AW371">
            <v>629998.53</v>
          </cell>
          <cell r="AX371">
            <v>608163.96</v>
          </cell>
          <cell r="AY371">
            <v>586329.39</v>
          </cell>
          <cell r="AZ371">
            <v>508060.84</v>
          </cell>
          <cell r="BA371">
            <v>481523.44</v>
          </cell>
          <cell r="BB371">
            <v>454986.03</v>
          </cell>
          <cell r="BC371">
            <v>428448.63</v>
          </cell>
          <cell r="BD371">
            <v>401911.22</v>
          </cell>
          <cell r="BE371">
            <v>387616.51</v>
          </cell>
          <cell r="BF371">
            <v>385564.29</v>
          </cell>
          <cell r="BG371">
            <v>383512.08</v>
          </cell>
          <cell r="BH371">
            <v>381459.84</v>
          </cell>
          <cell r="BI371">
            <v>379407.62</v>
          </cell>
          <cell r="BJ371">
            <v>377355.4</v>
          </cell>
          <cell r="BK371">
            <v>375303.18</v>
          </cell>
          <cell r="BL371">
            <v>373250.95</v>
          </cell>
          <cell r="BM371">
            <v>371198.73</v>
          </cell>
          <cell r="BN371">
            <v>369146.5</v>
          </cell>
          <cell r="BO371">
            <v>367094.29</v>
          </cell>
          <cell r="BP371">
            <v>365042.07</v>
          </cell>
          <cell r="BQ371">
            <v>362989.85</v>
          </cell>
          <cell r="BR371">
            <v>360937.62</v>
          </cell>
          <cell r="BS371">
            <v>358885.4</v>
          </cell>
          <cell r="BT371">
            <v>356833.18</v>
          </cell>
          <cell r="BU371">
            <v>354780.97</v>
          </cell>
          <cell r="BV371">
            <v>352728.74</v>
          </cell>
          <cell r="BW371">
            <v>350676.52</v>
          </cell>
          <cell r="BX371">
            <v>348624.3</v>
          </cell>
          <cell r="BY371">
            <v>346572.08</v>
          </cell>
          <cell r="BZ371">
            <v>344519.85</v>
          </cell>
          <cell r="CA371">
            <v>342467.64</v>
          </cell>
          <cell r="CB371">
            <v>340415.42</v>
          </cell>
          <cell r="CC371">
            <v>338363.2</v>
          </cell>
          <cell r="CD371">
            <v>336310.97</v>
          </cell>
          <cell r="CE371">
            <v>334258.75</v>
          </cell>
          <cell r="CF371">
            <v>332206.53000000003</v>
          </cell>
          <cell r="CG371">
            <v>330154.32</v>
          </cell>
          <cell r="CH371">
            <v>328102.09000000003</v>
          </cell>
          <cell r="CI371">
            <v>326049.87</v>
          </cell>
          <cell r="CJ371">
            <v>323997.65000000002</v>
          </cell>
          <cell r="CK371">
            <v>321945.43</v>
          </cell>
          <cell r="CL371">
            <v>319893.2</v>
          </cell>
          <cell r="CM371">
            <v>317840.99</v>
          </cell>
          <cell r="CN371">
            <v>315775.98</v>
          </cell>
          <cell r="CO371">
            <v>313723.76</v>
          </cell>
          <cell r="CP371">
            <v>311671.53000000003</v>
          </cell>
          <cell r="CQ371">
            <v>309619.31</v>
          </cell>
          <cell r="CR371">
            <v>307567.09000000003</v>
          </cell>
          <cell r="CS371">
            <v>305514.88</v>
          </cell>
          <cell r="CT371">
            <v>303462.65000000002</v>
          </cell>
          <cell r="CU371">
            <v>301410.43</v>
          </cell>
          <cell r="CV371">
            <v>299358.21000000002</v>
          </cell>
          <cell r="CW371">
            <v>297305.99</v>
          </cell>
          <cell r="CX371">
            <v>295253.76000000001</v>
          </cell>
          <cell r="CY371">
            <v>293201.55</v>
          </cell>
          <cell r="CZ371">
            <v>291149.33</v>
          </cell>
          <cell r="DA371">
            <v>289097.11</v>
          </cell>
          <cell r="DB371">
            <v>287044.88</v>
          </cell>
          <cell r="DC371">
            <v>284992.65999999997</v>
          </cell>
          <cell r="DD371">
            <v>282940.44</v>
          </cell>
          <cell r="DE371">
            <v>280888.23</v>
          </cell>
          <cell r="DF371">
            <v>278836</v>
          </cell>
          <cell r="DG371">
            <v>276783.78000000003</v>
          </cell>
          <cell r="DH371">
            <v>274731.56</v>
          </cell>
        </row>
        <row r="372">
          <cell r="A372" t="str">
            <v>224</v>
          </cell>
          <cell r="D372">
            <v>-231764680</v>
          </cell>
          <cell r="E372">
            <v>-231764680</v>
          </cell>
          <cell r="F372">
            <v>-231764680</v>
          </cell>
          <cell r="G372">
            <v>-231764680</v>
          </cell>
          <cell r="H372">
            <v>-231764680</v>
          </cell>
          <cell r="I372">
            <v>-241764680</v>
          </cell>
          <cell r="J372">
            <v>-241764680</v>
          </cell>
          <cell r="K372">
            <v>-241764680</v>
          </cell>
          <cell r="L372">
            <v>-241764680</v>
          </cell>
          <cell r="M372">
            <v>-241764680</v>
          </cell>
          <cell r="N372">
            <v>-241764680</v>
          </cell>
          <cell r="O372">
            <v>-241764680</v>
          </cell>
          <cell r="P372">
            <v>-241764680</v>
          </cell>
          <cell r="Q372">
            <v>-241764680</v>
          </cell>
          <cell r="R372">
            <v>-241764680</v>
          </cell>
          <cell r="S372">
            <v>-241764680</v>
          </cell>
          <cell r="T372">
            <v>-241764680</v>
          </cell>
          <cell r="U372">
            <v>-261764680</v>
          </cell>
          <cell r="V372">
            <v>-261764680</v>
          </cell>
          <cell r="W372">
            <v>-261764680</v>
          </cell>
          <cell r="X372">
            <v>-261764680</v>
          </cell>
          <cell r="Y372">
            <v>-261764680</v>
          </cell>
          <cell r="Z372">
            <v>-261764680</v>
          </cell>
          <cell r="AA372">
            <v>-261764680</v>
          </cell>
          <cell r="AB372">
            <v>-261764680</v>
          </cell>
          <cell r="AC372">
            <v>-261764680</v>
          </cell>
          <cell r="AD372">
            <v>-261764680</v>
          </cell>
          <cell r="AE372">
            <v>-261764680</v>
          </cell>
          <cell r="AF372">
            <v>-261764680</v>
          </cell>
          <cell r="AG372">
            <v>-261764680</v>
          </cell>
          <cell r="AH372">
            <v>-261764680</v>
          </cell>
          <cell r="AI372">
            <v>-261764680</v>
          </cell>
          <cell r="AJ372">
            <v>-261764680</v>
          </cell>
          <cell r="AK372">
            <v>-261764680</v>
          </cell>
          <cell r="AL372">
            <v>-261764680</v>
          </cell>
          <cell r="AM372">
            <v>-261764680</v>
          </cell>
          <cell r="AN372">
            <v>-261764680</v>
          </cell>
          <cell r="AO372">
            <v>-261764680</v>
          </cell>
          <cell r="AP372">
            <v>-261764680</v>
          </cell>
          <cell r="AQ372">
            <v>-261764680</v>
          </cell>
          <cell r="AR372">
            <v>-261764680</v>
          </cell>
          <cell r="AS372">
            <v>-261764680</v>
          </cell>
          <cell r="AT372">
            <v>-261764680</v>
          </cell>
          <cell r="AU372">
            <v>-261764680</v>
          </cell>
          <cell r="AV372">
            <v>-261764680</v>
          </cell>
          <cell r="AW372">
            <v>-261764680</v>
          </cell>
          <cell r="AX372">
            <v>-261764680</v>
          </cell>
          <cell r="AY372">
            <v>-261764680</v>
          </cell>
          <cell r="AZ372">
            <v>-261764680</v>
          </cell>
          <cell r="BA372">
            <v>-261764680</v>
          </cell>
          <cell r="BB372">
            <v>-261764680</v>
          </cell>
          <cell r="BC372">
            <v>-261764680</v>
          </cell>
          <cell r="BD372">
            <v>-261764680</v>
          </cell>
          <cell r="BE372">
            <v>-211764680</v>
          </cell>
          <cell r="BF372">
            <v>-286764680</v>
          </cell>
          <cell r="BG372">
            <v>-286764680</v>
          </cell>
          <cell r="BH372">
            <v>-286764680</v>
          </cell>
          <cell r="BI372">
            <v>-286764680</v>
          </cell>
          <cell r="BJ372">
            <v>-311764680</v>
          </cell>
          <cell r="BK372">
            <v>-311764680</v>
          </cell>
          <cell r="BL372">
            <v>-311764680</v>
          </cell>
          <cell r="BM372">
            <v>-311764680</v>
          </cell>
          <cell r="BN372">
            <v>-311764680</v>
          </cell>
          <cell r="BO372">
            <v>-311764680</v>
          </cell>
          <cell r="BP372">
            <v>-311764680</v>
          </cell>
          <cell r="BQ372">
            <v>-311764680</v>
          </cell>
          <cell r="BR372">
            <v>-311764680</v>
          </cell>
          <cell r="BS372">
            <v>-336764680</v>
          </cell>
          <cell r="BT372">
            <v>-336764680</v>
          </cell>
          <cell r="BU372">
            <v>-336764680</v>
          </cell>
          <cell r="BV372">
            <v>-336764680</v>
          </cell>
          <cell r="BW372">
            <v>-336764680</v>
          </cell>
          <cell r="BX372">
            <v>-336764680</v>
          </cell>
          <cell r="BY372">
            <v>-336764680</v>
          </cell>
          <cell r="BZ372">
            <v>-336764680</v>
          </cell>
          <cell r="CA372">
            <v>-336764680</v>
          </cell>
          <cell r="CB372">
            <v>-336764680</v>
          </cell>
          <cell r="CC372">
            <v>-336764680</v>
          </cell>
          <cell r="CD372">
            <v>-336764680</v>
          </cell>
          <cell r="CE372">
            <v>-336764680</v>
          </cell>
          <cell r="CF372">
            <v>-336764680</v>
          </cell>
          <cell r="CG372">
            <v>-336764680</v>
          </cell>
          <cell r="CH372">
            <v>-336764680</v>
          </cell>
          <cell r="CI372">
            <v>-336764680</v>
          </cell>
          <cell r="CJ372">
            <v>-336764680</v>
          </cell>
          <cell r="CK372">
            <v>-336764680</v>
          </cell>
          <cell r="CL372">
            <v>-336764680</v>
          </cell>
          <cell r="CM372">
            <v>-566764680</v>
          </cell>
          <cell r="CN372">
            <v>-566764680</v>
          </cell>
          <cell r="CO372">
            <v>-520000000</v>
          </cell>
          <cell r="CP372">
            <v>-520000000</v>
          </cell>
          <cell r="CQ372">
            <v>-520000000</v>
          </cell>
          <cell r="CR372">
            <v>-520000000</v>
          </cell>
          <cell r="CS372">
            <v>-520000000</v>
          </cell>
          <cell r="CT372">
            <v>-520000000</v>
          </cell>
          <cell r="CU372">
            <v>-520000000</v>
          </cell>
          <cell r="CV372">
            <v>-520000000</v>
          </cell>
          <cell r="CW372">
            <v>-520000000</v>
          </cell>
          <cell r="CX372">
            <v>-520000000</v>
          </cell>
          <cell r="CY372">
            <v>-520000000</v>
          </cell>
          <cell r="CZ372">
            <v>-520000000</v>
          </cell>
          <cell r="DA372">
            <v>-520000000</v>
          </cell>
          <cell r="DB372">
            <v>-520000000</v>
          </cell>
          <cell r="DC372">
            <v>-595000000</v>
          </cell>
          <cell r="DD372">
            <v>-595000000</v>
          </cell>
          <cell r="DE372">
            <v>-570000000</v>
          </cell>
          <cell r="DF372">
            <v>-570000000</v>
          </cell>
          <cell r="DG372">
            <v>-570000000</v>
          </cell>
          <cell r="DH372">
            <v>-570000000</v>
          </cell>
        </row>
        <row r="373">
          <cell r="A373" t="str">
            <v>226</v>
          </cell>
          <cell r="D373">
            <v>422760.18</v>
          </cell>
          <cell r="E373">
            <v>421177.68</v>
          </cell>
          <cell r="F373">
            <v>419595.18</v>
          </cell>
          <cell r="G373">
            <v>418012.68</v>
          </cell>
          <cell r="H373">
            <v>416430.18</v>
          </cell>
          <cell r="I373">
            <v>421547.68</v>
          </cell>
          <cell r="J373">
            <v>419937.26</v>
          </cell>
          <cell r="K373">
            <v>418336.15</v>
          </cell>
          <cell r="L373">
            <v>416735.04</v>
          </cell>
          <cell r="M373">
            <v>415133.93</v>
          </cell>
          <cell r="N373">
            <v>413532.82</v>
          </cell>
          <cell r="O373">
            <v>411931.71</v>
          </cell>
          <cell r="P373">
            <v>410330.6</v>
          </cell>
          <cell r="Q373">
            <v>408729.49</v>
          </cell>
          <cell r="R373">
            <v>407128.38</v>
          </cell>
          <cell r="S373">
            <v>405527.27</v>
          </cell>
          <cell r="T373">
            <v>403926.16</v>
          </cell>
          <cell r="U373">
            <v>439525.05</v>
          </cell>
          <cell r="V373">
            <v>437819.41</v>
          </cell>
          <cell r="W373">
            <v>436114.97</v>
          </cell>
          <cell r="X373">
            <v>434410.53</v>
          </cell>
          <cell r="Y373">
            <v>432706.09</v>
          </cell>
          <cell r="Z373">
            <v>431001.65</v>
          </cell>
          <cell r="AA373">
            <v>429297.21</v>
          </cell>
          <cell r="AB373">
            <v>427592.77</v>
          </cell>
          <cell r="AC373">
            <v>425888.33</v>
          </cell>
          <cell r="AD373">
            <v>424183.89</v>
          </cell>
          <cell r="AE373">
            <v>422479.45</v>
          </cell>
          <cell r="AF373">
            <v>420775.01</v>
          </cell>
          <cell r="AG373">
            <v>419070.57</v>
          </cell>
          <cell r="AH373">
            <v>417366.13</v>
          </cell>
          <cell r="AI373">
            <v>415661.69</v>
          </cell>
          <cell r="AJ373">
            <v>413957.25</v>
          </cell>
          <cell r="AK373">
            <v>412252.81</v>
          </cell>
          <cell r="AL373">
            <v>410548.37</v>
          </cell>
          <cell r="AM373">
            <v>408843.93</v>
          </cell>
          <cell r="AN373">
            <v>407139.49</v>
          </cell>
          <cell r="AO373">
            <v>405435.05</v>
          </cell>
          <cell r="AP373">
            <v>403730.61</v>
          </cell>
          <cell r="AQ373">
            <v>402026.17</v>
          </cell>
          <cell r="AR373">
            <v>400321.73</v>
          </cell>
          <cell r="AS373">
            <v>398617.29</v>
          </cell>
          <cell r="AT373">
            <v>396912.85</v>
          </cell>
          <cell r="AU373">
            <v>395208.41</v>
          </cell>
          <cell r="AV373">
            <v>393503.97</v>
          </cell>
          <cell r="AW373">
            <v>391799.53</v>
          </cell>
          <cell r="AX373">
            <v>390095.09</v>
          </cell>
          <cell r="AY373">
            <v>388390.65</v>
          </cell>
          <cell r="AZ373">
            <v>386686.21</v>
          </cell>
          <cell r="BA373">
            <v>384981.77</v>
          </cell>
          <cell r="BB373">
            <v>383277.33</v>
          </cell>
          <cell r="BC373">
            <v>381572.89</v>
          </cell>
          <cell r="BD373">
            <v>379868.45</v>
          </cell>
          <cell r="BE373">
            <v>378164.01</v>
          </cell>
          <cell r="BF373">
            <v>571302.51</v>
          </cell>
          <cell r="BG373">
            <v>774522.99</v>
          </cell>
          <cell r="BH373">
            <v>771701.88</v>
          </cell>
          <cell r="BI373">
            <v>768880.77</v>
          </cell>
          <cell r="BJ373">
            <v>893463.71</v>
          </cell>
          <cell r="BK373">
            <v>890295.45</v>
          </cell>
          <cell r="BL373">
            <v>887127.19</v>
          </cell>
          <cell r="BM373">
            <v>883958.93</v>
          </cell>
          <cell r="BN373">
            <v>880790.67</v>
          </cell>
          <cell r="BO373">
            <v>877622.41</v>
          </cell>
          <cell r="BP373">
            <v>874454.15</v>
          </cell>
          <cell r="BQ373">
            <v>871285.89</v>
          </cell>
          <cell r="BR373">
            <v>868117.63</v>
          </cell>
          <cell r="BS373">
            <v>1171449.3700000001</v>
          </cell>
          <cell r="BT373">
            <v>1167456.6100000001</v>
          </cell>
          <cell r="BU373">
            <v>1163462.2</v>
          </cell>
          <cell r="BV373">
            <v>1159467.79</v>
          </cell>
          <cell r="BW373">
            <v>1155473.3799999999</v>
          </cell>
          <cell r="BX373">
            <v>1151478.97</v>
          </cell>
          <cell r="BY373">
            <v>1147484.56</v>
          </cell>
          <cell r="BZ373">
            <v>1143490.1499999999</v>
          </cell>
          <cell r="CA373">
            <v>1139495.74</v>
          </cell>
          <cell r="CB373">
            <v>1135501.33</v>
          </cell>
          <cell r="CC373">
            <v>1131506.92</v>
          </cell>
          <cell r="CD373">
            <v>1127512.51</v>
          </cell>
          <cell r="CE373">
            <v>1123518.1000000001</v>
          </cell>
          <cell r="CF373">
            <v>1119523.69</v>
          </cell>
          <cell r="CG373">
            <v>1115529.28</v>
          </cell>
          <cell r="CH373">
            <v>1111534.8700000001</v>
          </cell>
          <cell r="CI373">
            <v>1107540.46</v>
          </cell>
          <cell r="CJ373">
            <v>1103546.05</v>
          </cell>
          <cell r="CK373">
            <v>1099551.6399999999</v>
          </cell>
          <cell r="CL373">
            <v>1095557.23</v>
          </cell>
          <cell r="CM373">
            <v>1719076.29</v>
          </cell>
          <cell r="CN373">
            <v>1711423.85</v>
          </cell>
          <cell r="CO373">
            <v>1703592.91</v>
          </cell>
          <cell r="CP373">
            <v>1695761.97</v>
          </cell>
          <cell r="CQ373">
            <v>1687931.03</v>
          </cell>
          <cell r="CR373">
            <v>1680100.09</v>
          </cell>
          <cell r="CS373">
            <v>1672269.15</v>
          </cell>
          <cell r="CT373">
            <v>1664438.21</v>
          </cell>
          <cell r="CU373">
            <v>1656607.27</v>
          </cell>
          <cell r="CV373">
            <v>1648776.33</v>
          </cell>
          <cell r="CW373">
            <v>1640945.39</v>
          </cell>
          <cell r="CX373">
            <v>1633114.45</v>
          </cell>
          <cell r="CY373">
            <v>1625283.51</v>
          </cell>
          <cell r="CZ373">
            <v>1617452.57</v>
          </cell>
          <cell r="DA373">
            <v>1609621.63</v>
          </cell>
          <cell r="DB373">
            <v>1601790.69</v>
          </cell>
          <cell r="DC373">
            <v>1654047.7</v>
          </cell>
          <cell r="DD373">
            <v>1645491.83</v>
          </cell>
          <cell r="DE373">
            <v>1636935.96</v>
          </cell>
          <cell r="DF373">
            <v>1628634.26</v>
          </cell>
          <cell r="DG373">
            <v>1620332.56</v>
          </cell>
          <cell r="DH373">
            <v>1612030.86</v>
          </cell>
        </row>
        <row r="374">
          <cell r="A374" t="str">
            <v>228</v>
          </cell>
          <cell r="D374">
            <v>-26681143.670000002</v>
          </cell>
          <cell r="E374">
            <v>-25951180.98</v>
          </cell>
          <cell r="F374">
            <v>-25787429.660000004</v>
          </cell>
          <cell r="G374">
            <v>-24607645.440000001</v>
          </cell>
          <cell r="H374">
            <v>-23817802.210000001</v>
          </cell>
          <cell r="I374">
            <v>-24211684.809999999</v>
          </cell>
          <cell r="J374">
            <v>-23718559.690000001</v>
          </cell>
          <cell r="K374">
            <v>-23022014.009999998</v>
          </cell>
          <cell r="L374">
            <v>-23281584.82</v>
          </cell>
          <cell r="M374">
            <v>-22017282.309999999</v>
          </cell>
          <cell r="N374">
            <v>-22337980.520000003</v>
          </cell>
          <cell r="O374">
            <v>-22681102.07</v>
          </cell>
          <cell r="P374">
            <v>-26019235.210000001</v>
          </cell>
          <cell r="Q374">
            <v>-25057694.459999997</v>
          </cell>
          <cell r="R374">
            <v>-25158994.050000001</v>
          </cell>
          <cell r="S374">
            <v>-24882291.690000001</v>
          </cell>
          <cell r="T374">
            <v>-24472555.400000002</v>
          </cell>
          <cell r="U374">
            <v>-24689803.18</v>
          </cell>
          <cell r="V374">
            <v>-23410386.099999998</v>
          </cell>
          <cell r="W374">
            <v>-22995244.939999998</v>
          </cell>
          <cell r="X374">
            <v>-22902148.059999999</v>
          </cell>
          <cell r="Y374">
            <v>-21094240.900000002</v>
          </cell>
          <cell r="Z374">
            <v>-21258527.009999998</v>
          </cell>
          <cell r="AA374">
            <v>-21444760.489999998</v>
          </cell>
          <cell r="AB374">
            <v>-28971148.989999998</v>
          </cell>
          <cell r="AC374">
            <v>-29230488.440000001</v>
          </cell>
          <cell r="AD374">
            <v>-29421232.449999999</v>
          </cell>
          <cell r="AE374">
            <v>-28365036.170000002</v>
          </cell>
          <cell r="AF374">
            <v>-27627477.890000001</v>
          </cell>
          <cell r="AG374">
            <v>-27789361.600000001</v>
          </cell>
          <cell r="AH374">
            <v>-27970171.940000001</v>
          </cell>
          <cell r="AI374">
            <v>-27092027.610000003</v>
          </cell>
          <cell r="AJ374">
            <v>-27195844.91</v>
          </cell>
          <cell r="AK374">
            <v>-35190534.840000004</v>
          </cell>
          <cell r="AL374">
            <v>-35327688.310000002</v>
          </cell>
          <cell r="AM374">
            <v>-35591343.740000002</v>
          </cell>
          <cell r="AN374">
            <v>-31401927.109999996</v>
          </cell>
          <cell r="AO374">
            <v>-31220847.27</v>
          </cell>
          <cell r="AP374">
            <v>-30840323.91</v>
          </cell>
          <cell r="AQ374">
            <v>-30087238.91</v>
          </cell>
          <cell r="AR374">
            <v>-29337951.139999997</v>
          </cell>
          <cell r="AS374">
            <v>-29589433.439999998</v>
          </cell>
          <cell r="AT374">
            <v>-30457098.02</v>
          </cell>
          <cell r="AU374">
            <v>-29573248.989999998</v>
          </cell>
          <cell r="AV374">
            <v>-29771356.5</v>
          </cell>
          <cell r="AW374">
            <v>-29087503.139999997</v>
          </cell>
          <cell r="AX374">
            <v>-29313861.579999998</v>
          </cell>
          <cell r="AY374">
            <v>-29472516.619999997</v>
          </cell>
          <cell r="AZ374">
            <v>-26945534.370000001</v>
          </cell>
          <cell r="BA374">
            <v>-26405549.239999998</v>
          </cell>
          <cell r="BB374">
            <v>-26282266.909999996</v>
          </cell>
          <cell r="BC374">
            <v>-26005749.549999997</v>
          </cell>
          <cell r="BD374">
            <v>-26186815.949999999</v>
          </cell>
          <cell r="BE374">
            <v>-26373771.039999999</v>
          </cell>
          <cell r="BF374">
            <v>-26138562.66</v>
          </cell>
          <cell r="BG374">
            <v>-26427384.760000002</v>
          </cell>
          <cell r="BH374">
            <v>-26651948.539999999</v>
          </cell>
          <cell r="BI374">
            <v>-26038291.499999996</v>
          </cell>
          <cell r="BJ374">
            <v>-26178351.539999999</v>
          </cell>
          <cell r="BK374">
            <v>-26262227.759999998</v>
          </cell>
          <cell r="BL374">
            <v>-28500905.75</v>
          </cell>
          <cell r="BM374">
            <v>-28730548.239999998</v>
          </cell>
          <cell r="BN374">
            <v>-28892440.729999997</v>
          </cell>
          <cell r="BO374">
            <v>-29522613.469999999</v>
          </cell>
          <cell r="BP374">
            <v>-28944618.02</v>
          </cell>
          <cell r="BQ374">
            <v>-29227676.150000002</v>
          </cell>
          <cell r="BR374">
            <v>-29186232.34</v>
          </cell>
          <cell r="BS374">
            <v>-29593232.990000002</v>
          </cell>
          <cell r="BT374">
            <v>-30362985.409999996</v>
          </cell>
          <cell r="BU374">
            <v>-29328244.949999999</v>
          </cell>
          <cell r="BV374">
            <v>-30145622.220000003</v>
          </cell>
          <cell r="BW374">
            <v>-31252587.749999996</v>
          </cell>
          <cell r="BX374">
            <v>-32488465.099999998</v>
          </cell>
          <cell r="BY374">
            <v>-32138951.380000003</v>
          </cell>
          <cell r="BZ374">
            <v>-32410263.149999999</v>
          </cell>
          <cell r="CA374">
            <v>-31766661.430000003</v>
          </cell>
          <cell r="CB374">
            <v>-31266241.800000001</v>
          </cell>
          <cell r="CC374">
            <v>-31654541.900000002</v>
          </cell>
          <cell r="CD374">
            <v>-31749175.52</v>
          </cell>
          <cell r="CE374">
            <v>-31420756.960000001</v>
          </cell>
          <cell r="CF374">
            <v>-31457185.990000002</v>
          </cell>
          <cell r="CG374">
            <v>-30434722.389999997</v>
          </cell>
          <cell r="CH374">
            <v>-30469711.049999997</v>
          </cell>
          <cell r="CI374">
            <v>-30738108.350000001</v>
          </cell>
          <cell r="CJ374">
            <v>-37961354.899999999</v>
          </cell>
          <cell r="CK374">
            <v>-37546038.969999999</v>
          </cell>
          <cell r="CL374">
            <v>-37911749.079999998</v>
          </cell>
          <cell r="CM374">
            <v>-36593528.599999994</v>
          </cell>
          <cell r="CN374">
            <v>-36185252.729999997</v>
          </cell>
          <cell r="CO374">
            <v>-36416618.199999996</v>
          </cell>
          <cell r="CP374">
            <v>-35937594.819999993</v>
          </cell>
          <cell r="CQ374">
            <v>-35879100.039999999</v>
          </cell>
          <cell r="CR374">
            <v>-35965017.68</v>
          </cell>
          <cell r="CS374">
            <v>-35401823.019999996</v>
          </cell>
          <cell r="CT374">
            <v>-31340984.740000002</v>
          </cell>
          <cell r="CU374">
            <v>-34148677.600000001</v>
          </cell>
          <cell r="CV374">
            <v>-26607352.419999998</v>
          </cell>
          <cell r="CW374">
            <v>-24718670.939999998</v>
          </cell>
          <cell r="CX374">
            <v>-26486800.41</v>
          </cell>
          <cell r="CY374">
            <v>-25838896.819999997</v>
          </cell>
          <cell r="CZ374">
            <v>-24628250.07</v>
          </cell>
          <cell r="DA374">
            <v>-24415077.060000002</v>
          </cell>
          <cell r="DB374">
            <v>-24072755.370000001</v>
          </cell>
          <cell r="DC374">
            <v>-22398684.670000002</v>
          </cell>
          <cell r="DD374">
            <v>-20253497.16</v>
          </cell>
          <cell r="DE374">
            <v>-20734589.5</v>
          </cell>
          <cell r="DF374">
            <v>-19670693.359999996</v>
          </cell>
          <cell r="DG374">
            <v>-19522597.84</v>
          </cell>
          <cell r="DH374">
            <v>-27486603.599999998</v>
          </cell>
        </row>
        <row r="375">
          <cell r="A375" t="str">
            <v>231</v>
          </cell>
          <cell r="D375">
            <v>-15600000</v>
          </cell>
          <cell r="E375">
            <v>-16500000</v>
          </cell>
          <cell r="F375">
            <v>-12200000</v>
          </cell>
          <cell r="G375">
            <v>0</v>
          </cell>
          <cell r="H375">
            <v>0</v>
          </cell>
          <cell r="I375">
            <v>0</v>
          </cell>
          <cell r="J375">
            <v>0</v>
          </cell>
          <cell r="K375">
            <v>0</v>
          </cell>
          <cell r="L375">
            <v>0</v>
          </cell>
          <cell r="M375">
            <v>0</v>
          </cell>
          <cell r="N375">
            <v>0</v>
          </cell>
          <cell r="O375">
            <v>0</v>
          </cell>
          <cell r="P375">
            <v>-12900000</v>
          </cell>
          <cell r="Q375">
            <v>-8350000</v>
          </cell>
          <cell r="R375">
            <v>-5800000</v>
          </cell>
          <cell r="S375">
            <v>0</v>
          </cell>
          <cell r="T375">
            <v>0</v>
          </cell>
          <cell r="U375">
            <v>0</v>
          </cell>
          <cell r="V375">
            <v>0</v>
          </cell>
          <cell r="W375">
            <v>0</v>
          </cell>
          <cell r="X375">
            <v>0</v>
          </cell>
          <cell r="Y375">
            <v>0</v>
          </cell>
          <cell r="Z375">
            <v>0</v>
          </cell>
          <cell r="AA375">
            <v>0</v>
          </cell>
          <cell r="AB375">
            <v>0</v>
          </cell>
          <cell r="AC375">
            <v>0</v>
          </cell>
          <cell r="AD375">
            <v>-2300000</v>
          </cell>
          <cell r="AE375">
            <v>0</v>
          </cell>
          <cell r="AF375">
            <v>0</v>
          </cell>
          <cell r="AG375">
            <v>0</v>
          </cell>
          <cell r="AH375">
            <v>0</v>
          </cell>
          <cell r="AI375">
            <v>-1800000</v>
          </cell>
          <cell r="AJ375">
            <v>-3150000</v>
          </cell>
          <cell r="AK375">
            <v>-700000</v>
          </cell>
          <cell r="AL375">
            <v>0</v>
          </cell>
          <cell r="AM375">
            <v>-9750000</v>
          </cell>
          <cell r="AN375">
            <v>-30050000</v>
          </cell>
          <cell r="AO375">
            <v>-41225800</v>
          </cell>
          <cell r="AP375">
            <v>-40506800</v>
          </cell>
          <cell r="AQ375">
            <v>-41810800</v>
          </cell>
          <cell r="AR375">
            <v>-37148300</v>
          </cell>
          <cell r="AS375">
            <v>-30142100</v>
          </cell>
          <cell r="AT375">
            <v>-36126700</v>
          </cell>
          <cell r="AU375">
            <v>-33325400</v>
          </cell>
          <cell r="AV375">
            <v>-46233900</v>
          </cell>
          <cell r="AW375">
            <v>-48013800</v>
          </cell>
          <cell r="AX375">
            <v>-43884100</v>
          </cell>
          <cell r="AY375">
            <v>0</v>
          </cell>
          <cell r="AZ375">
            <v>-5000000</v>
          </cell>
          <cell r="BA375">
            <v>-5000000</v>
          </cell>
          <cell r="BB375">
            <v>-58203643.530000001</v>
          </cell>
          <cell r="BC375">
            <v>-53438296.759999998</v>
          </cell>
          <cell r="BD375">
            <v>-53973759.039999999</v>
          </cell>
          <cell r="BE375">
            <v>-86871593.75</v>
          </cell>
          <cell r="BF375">
            <v>-32647326.449999999</v>
          </cell>
          <cell r="BG375">
            <v>-32403666.739999998</v>
          </cell>
          <cell r="BH375">
            <v>-36635669.780000001</v>
          </cell>
          <cell r="BI375">
            <v>-44924345.579999998</v>
          </cell>
          <cell r="BJ375">
            <v>0</v>
          </cell>
          <cell r="BK375">
            <v>-35033765.530000001</v>
          </cell>
          <cell r="BL375">
            <v>-53651642.840000004</v>
          </cell>
          <cell r="BM375">
            <v>-70274100.799999997</v>
          </cell>
          <cell r="BN375">
            <v>-51017831.979999997</v>
          </cell>
          <cell r="BO375">
            <v>-43526147.640000001</v>
          </cell>
          <cell r="BP375">
            <v>-47854030.259999998</v>
          </cell>
          <cell r="BQ375">
            <v>-32302624.949999999</v>
          </cell>
          <cell r="BR375">
            <v>-43946027.359999999</v>
          </cell>
          <cell r="BS375">
            <v>-30168533.420000002</v>
          </cell>
          <cell r="BT375">
            <v>-48717414.859999999</v>
          </cell>
          <cell r="BU375">
            <v>-44435200.189999998</v>
          </cell>
          <cell r="BV375">
            <v>-47028283.420000002</v>
          </cell>
          <cell r="BW375">
            <v>-77517735.260000005</v>
          </cell>
          <cell r="BX375">
            <v>-91138979.060000002</v>
          </cell>
          <cell r="BY375">
            <v>-104160102.78</v>
          </cell>
          <cell r="BZ375">
            <v>-90190820</v>
          </cell>
          <cell r="CA375">
            <v>-91778966.859999999</v>
          </cell>
          <cell r="CB375">
            <v>-99145211.670000002</v>
          </cell>
          <cell r="CC375">
            <v>-104893603</v>
          </cell>
          <cell r="CD375">
            <v>-127591365</v>
          </cell>
          <cell r="CE375">
            <v>-145194423.19</v>
          </cell>
          <cell r="CF375">
            <v>-133998437.38</v>
          </cell>
          <cell r="CG375">
            <v>-144415739.19999999</v>
          </cell>
          <cell r="CH375">
            <v>-162258206.69999999</v>
          </cell>
          <cell r="CI375">
            <v>-179528111.31999999</v>
          </cell>
          <cell r="CJ375">
            <v>-214352134.94</v>
          </cell>
          <cell r="CK375">
            <v>-236511398.25999999</v>
          </cell>
          <cell r="CL375">
            <v>-221147725.66</v>
          </cell>
          <cell r="CM375">
            <v>-10000000</v>
          </cell>
          <cell r="CN375">
            <v>-17122357</v>
          </cell>
          <cell r="CO375">
            <v>-87741525.890000001</v>
          </cell>
          <cell r="CP375">
            <v>-99244299.810000002</v>
          </cell>
          <cell r="CQ375">
            <v>-111939289</v>
          </cell>
          <cell r="CR375">
            <v>-101333505</v>
          </cell>
          <cell r="CS375">
            <v>-115219002</v>
          </cell>
          <cell r="CT375">
            <v>-136200897</v>
          </cell>
          <cell r="CU375">
            <v>-144763516</v>
          </cell>
          <cell r="CV375">
            <v>-189522084</v>
          </cell>
          <cell r="CW375">
            <v>-210398800</v>
          </cell>
          <cell r="CX375">
            <v>-158200102.47999999</v>
          </cell>
          <cell r="CY375">
            <v>-166329492.08000001</v>
          </cell>
          <cell r="CZ375">
            <v>-174483977.78</v>
          </cell>
          <cell r="DA375">
            <v>-177717844.08000001</v>
          </cell>
          <cell r="DB375">
            <v>-198344903.18000001</v>
          </cell>
          <cell r="DC375">
            <v>-100000000</v>
          </cell>
          <cell r="DD375">
            <v>-100000000</v>
          </cell>
          <cell r="DE375">
            <v>-156383680.47999999</v>
          </cell>
          <cell r="DF375">
            <v>-159112874.97999999</v>
          </cell>
          <cell r="DG375">
            <v>-161937357.08000001</v>
          </cell>
          <cell r="DH375">
            <v>-166097150.09999999</v>
          </cell>
        </row>
        <row r="376">
          <cell r="A376" t="str">
            <v>232</v>
          </cell>
          <cell r="D376">
            <v>-25201160.02</v>
          </cell>
          <cell r="E376">
            <v>-25863021.370000001</v>
          </cell>
          <cell r="F376">
            <v>-21622640.239999998</v>
          </cell>
          <cell r="G376">
            <v>-22638521.77</v>
          </cell>
          <cell r="H376">
            <v>-21384223.629999999</v>
          </cell>
          <cell r="I376">
            <v>-14261679.060000001</v>
          </cell>
          <cell r="J376">
            <v>-13605696.17</v>
          </cell>
          <cell r="K376">
            <v>-14899841.43</v>
          </cell>
          <cell r="L376">
            <v>-20484635.129999999</v>
          </cell>
          <cell r="M376">
            <v>-17700722.309999999</v>
          </cell>
          <cell r="N376">
            <v>-17465939.41</v>
          </cell>
          <cell r="O376">
            <v>-27910000.670000002</v>
          </cell>
          <cell r="P376">
            <v>-26863282.289999999</v>
          </cell>
          <cell r="Q376">
            <v>-26462627.120000001</v>
          </cell>
          <cell r="R376">
            <v>-21964433</v>
          </cell>
          <cell r="S376">
            <v>-21097286.960000001</v>
          </cell>
          <cell r="T376">
            <v>-21905545.32</v>
          </cell>
          <cell r="U376">
            <v>-15199987.51</v>
          </cell>
          <cell r="V376">
            <v>-16287474.65</v>
          </cell>
          <cell r="W376">
            <v>-16901912.989999998</v>
          </cell>
          <cell r="X376">
            <v>-20225915.960000001</v>
          </cell>
          <cell r="Y376">
            <v>-18045629.460000001</v>
          </cell>
          <cell r="Z376">
            <v>-21118069.800000001</v>
          </cell>
          <cell r="AA376">
            <v>-28066771.199999999</v>
          </cell>
          <cell r="AB376">
            <v>-23441336.640000001</v>
          </cell>
          <cell r="AC376">
            <v>-26628832.050000001</v>
          </cell>
          <cell r="AD376">
            <v>-22923258</v>
          </cell>
          <cell r="AE376">
            <v>-18171844.780000001</v>
          </cell>
          <cell r="AF376">
            <v>-23869078.559999999</v>
          </cell>
          <cell r="AG376">
            <v>-18392077.48</v>
          </cell>
          <cell r="AH376">
            <v>-24580534.190000001</v>
          </cell>
          <cell r="AI376">
            <v>-27253759.93</v>
          </cell>
          <cell r="AJ376">
            <v>-25793386.329999998</v>
          </cell>
          <cell r="AK376">
            <v>-24787154.68</v>
          </cell>
          <cell r="AL376">
            <v>-30907114.719999999</v>
          </cell>
          <cell r="AM376">
            <v>-34044265.340000004</v>
          </cell>
          <cell r="AN376">
            <v>-30523948.170000002</v>
          </cell>
          <cell r="AO376">
            <v>-26403981.18</v>
          </cell>
          <cell r="AP376">
            <v>-21001575.57</v>
          </cell>
          <cell r="AQ376">
            <v>-20283672.370000001</v>
          </cell>
          <cell r="AR376">
            <v>-23047621.210000001</v>
          </cell>
          <cell r="AS376">
            <v>-21961435.260000002</v>
          </cell>
          <cell r="AT376">
            <v>-19976920.109999999</v>
          </cell>
          <cell r="AU376">
            <v>-24331841.18</v>
          </cell>
          <cell r="AV376">
            <v>-30557478.48</v>
          </cell>
          <cell r="AW376">
            <v>-25155521.34</v>
          </cell>
          <cell r="AX376">
            <v>-25134311.530000001</v>
          </cell>
          <cell r="AY376">
            <v>-34447339.490000002</v>
          </cell>
          <cell r="AZ376">
            <v>-35329912.18</v>
          </cell>
          <cell r="BA376">
            <v>-39755796.020000003</v>
          </cell>
          <cell r="BB376">
            <v>-25887447.539999999</v>
          </cell>
          <cell r="BC376">
            <v>-24545863.199999999</v>
          </cell>
          <cell r="BD376">
            <v>-24202680.719999999</v>
          </cell>
          <cell r="BE376">
            <v>-28857913.899999999</v>
          </cell>
          <cell r="BF376">
            <v>-29617109.41</v>
          </cell>
          <cell r="BG376">
            <v>-32346006.789999999</v>
          </cell>
          <cell r="BH376">
            <v>-30435191.300000001</v>
          </cell>
          <cell r="BI376">
            <v>-33641389.100000001</v>
          </cell>
          <cell r="BJ376">
            <v>-41415962.310000002</v>
          </cell>
          <cell r="BK376">
            <v>-56649310.359999999</v>
          </cell>
          <cell r="BL376">
            <v>-47736415.229999997</v>
          </cell>
          <cell r="BM376">
            <v>-41646058.280000001</v>
          </cell>
          <cell r="BN376">
            <v>-31572943.609999999</v>
          </cell>
          <cell r="BO376">
            <v>-38741742.32</v>
          </cell>
          <cell r="BP376">
            <v>-34520011.810000002</v>
          </cell>
          <cell r="BQ376">
            <v>-37921362.259999998</v>
          </cell>
          <cell r="BR376">
            <v>-34402416.210000001</v>
          </cell>
          <cell r="BS376">
            <v>-33788357.719999999</v>
          </cell>
          <cell r="BT376">
            <v>-37599088.600000001</v>
          </cell>
          <cell r="BU376">
            <v>-36186531.439999998</v>
          </cell>
          <cell r="BV376">
            <v>-42101626.149999999</v>
          </cell>
          <cell r="BW376">
            <v>-49142385.079999998</v>
          </cell>
          <cell r="BX376">
            <v>-59685489.890000001</v>
          </cell>
          <cell r="BY376">
            <v>-59329035.710000001</v>
          </cell>
          <cell r="BZ376">
            <v>-50686416.420000002</v>
          </cell>
          <cell r="CA376">
            <v>-49669086.049999997</v>
          </cell>
          <cell r="CB376">
            <v>-54113524.039999999</v>
          </cell>
          <cell r="CC376">
            <v>-51846198.890000001</v>
          </cell>
          <cell r="CD376">
            <v>-45352400</v>
          </cell>
          <cell r="CE376">
            <v>-46436338.109999999</v>
          </cell>
          <cell r="CF376">
            <v>-53169130.350000001</v>
          </cell>
          <cell r="CG376">
            <v>-59101419.520000003</v>
          </cell>
          <cell r="CH376">
            <v>-67496830.409999996</v>
          </cell>
          <cell r="CI376">
            <v>-79187003.819999993</v>
          </cell>
          <cell r="CJ376">
            <v>-80684738.109999999</v>
          </cell>
          <cell r="CK376">
            <v>-69529296.890000001</v>
          </cell>
          <cell r="CL376">
            <v>-68737382.090000004</v>
          </cell>
          <cell r="CM376">
            <v>-64518023.009999998</v>
          </cell>
          <cell r="CN376">
            <v>-57554398.659999996</v>
          </cell>
          <cell r="CO376">
            <v>-46492346.649999999</v>
          </cell>
          <cell r="CP376">
            <v>-47739331.859999999</v>
          </cell>
          <cell r="CQ376">
            <v>-54187540.789999999</v>
          </cell>
          <cell r="CR376">
            <v>-58983694.450000003</v>
          </cell>
          <cell r="CS376">
            <v>-60757405.090000004</v>
          </cell>
          <cell r="CT376">
            <v>-72548704.400000006</v>
          </cell>
          <cell r="CU376">
            <v>-83539358.150000006</v>
          </cell>
          <cell r="CV376">
            <v>-70733694.540000007</v>
          </cell>
          <cell r="CW376">
            <v>-70454889.829999998</v>
          </cell>
          <cell r="CX376">
            <v>-63465827.280000001</v>
          </cell>
          <cell r="CY376">
            <v>-52841519.210000001</v>
          </cell>
          <cell r="CZ376">
            <v>-51517295.780000001</v>
          </cell>
          <cell r="DA376">
            <v>-61906654</v>
          </cell>
          <cell r="DB376">
            <v>-57909528.460000001</v>
          </cell>
          <cell r="DC376">
            <v>-56961843.289999999</v>
          </cell>
          <cell r="DD376">
            <v>-60461395.159999996</v>
          </cell>
          <cell r="DE376">
            <v>-58245304.710000001</v>
          </cell>
          <cell r="DF376">
            <v>-60554696.649999999</v>
          </cell>
          <cell r="DG376">
            <v>-78273428.310000002</v>
          </cell>
          <cell r="DH376">
            <v>-69856886.260000005</v>
          </cell>
        </row>
        <row r="377">
          <cell r="A377" t="str">
            <v>233</v>
          </cell>
          <cell r="D377">
            <v>0</v>
          </cell>
          <cell r="E377">
            <v>0</v>
          </cell>
          <cell r="F377">
            <v>0</v>
          </cell>
          <cell r="G377">
            <v>0</v>
          </cell>
          <cell r="H377">
            <v>0</v>
          </cell>
          <cell r="I377">
            <v>0</v>
          </cell>
          <cell r="J377">
            <v>0</v>
          </cell>
          <cell r="K377">
            <v>0</v>
          </cell>
          <cell r="L377">
            <v>-800000</v>
          </cell>
          <cell r="M377">
            <v>-4700000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-600000</v>
          </cell>
          <cell r="AI377">
            <v>0</v>
          </cell>
          <cell r="AJ377">
            <v>0</v>
          </cell>
          <cell r="AK377">
            <v>0</v>
          </cell>
          <cell r="AL377">
            <v>0</v>
          </cell>
          <cell r="AM377">
            <v>0</v>
          </cell>
          <cell r="AN377">
            <v>0</v>
          </cell>
          <cell r="AO377">
            <v>0</v>
          </cell>
          <cell r="AP377">
            <v>0</v>
          </cell>
          <cell r="AQ377">
            <v>0</v>
          </cell>
          <cell r="AR377">
            <v>0</v>
          </cell>
          <cell r="AS377">
            <v>-1700000</v>
          </cell>
          <cell r="AT377">
            <v>0</v>
          </cell>
          <cell r="AU377">
            <v>0</v>
          </cell>
          <cell r="AV377">
            <v>0</v>
          </cell>
          <cell r="AW377">
            <v>0</v>
          </cell>
          <cell r="AX377">
            <v>0</v>
          </cell>
          <cell r="AY377">
            <v>-46059900</v>
          </cell>
          <cell r="AZ377">
            <v>-52684300</v>
          </cell>
          <cell r="BA377">
            <v>-50045713</v>
          </cell>
          <cell r="BB377">
            <v>0</v>
          </cell>
          <cell r="BC377">
            <v>0</v>
          </cell>
          <cell r="BD377">
            <v>0</v>
          </cell>
          <cell r="BE377">
            <v>0</v>
          </cell>
          <cell r="BF377">
            <v>0</v>
          </cell>
          <cell r="BG377">
            <v>0</v>
          </cell>
          <cell r="BH377">
            <v>0</v>
          </cell>
          <cell r="BI377">
            <v>0</v>
          </cell>
          <cell r="BJ377">
            <v>-26601973.98</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-4181104</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-36571246.979999997</v>
          </cell>
          <cell r="DD377">
            <v>-24775692.280000001</v>
          </cell>
          <cell r="DE377">
            <v>0</v>
          </cell>
          <cell r="DF377">
            <v>0</v>
          </cell>
          <cell r="DG377">
            <v>0</v>
          </cell>
          <cell r="DH377">
            <v>0</v>
          </cell>
        </row>
        <row r="378">
          <cell r="A378" t="str">
            <v>234</v>
          </cell>
          <cell r="D378">
            <v>-7116182.1600000001</v>
          </cell>
          <cell r="E378">
            <v>-5784387.4400000004</v>
          </cell>
          <cell r="F378">
            <v>-5514670.6600000001</v>
          </cell>
          <cell r="G378">
            <v>-5919251.0899999999</v>
          </cell>
          <cell r="H378">
            <v>-5377038.4400000004</v>
          </cell>
          <cell r="I378">
            <v>-20708921.300000001</v>
          </cell>
          <cell r="J378">
            <v>-13845023.880000001</v>
          </cell>
          <cell r="K378">
            <v>-6123267.7699999996</v>
          </cell>
          <cell r="L378">
            <v>-5130231.83</v>
          </cell>
          <cell r="M378">
            <v>-4896454.1900000004</v>
          </cell>
          <cell r="N378">
            <v>-4922102.2300000004</v>
          </cell>
          <cell r="O378">
            <v>-10883022.02</v>
          </cell>
          <cell r="P378">
            <v>-6974327.7699999996</v>
          </cell>
          <cell r="Q378">
            <v>-5766072.0599999996</v>
          </cell>
          <cell r="R378">
            <v>-5525131.3300000001</v>
          </cell>
          <cell r="S378">
            <v>-6172109.96</v>
          </cell>
          <cell r="T378">
            <v>-5675107.8099999996</v>
          </cell>
          <cell r="U378">
            <v>-10351095.130000001</v>
          </cell>
          <cell r="V378">
            <v>-6018559.7800000003</v>
          </cell>
          <cell r="W378">
            <v>-6678476.3799999999</v>
          </cell>
          <cell r="X378">
            <v>-4918461.8600000003</v>
          </cell>
          <cell r="Y378">
            <v>-5126680.08</v>
          </cell>
          <cell r="Z378">
            <v>-4962851.42</v>
          </cell>
          <cell r="AA378">
            <v>-10730328.890000001</v>
          </cell>
          <cell r="AB378">
            <v>-8403205.3499999996</v>
          </cell>
          <cell r="AC378">
            <v>-5323791.45</v>
          </cell>
          <cell r="AD378">
            <v>-5600323.9500000002</v>
          </cell>
          <cell r="AE378">
            <v>-6055332.79</v>
          </cell>
          <cell r="AF378">
            <v>-4577077.96</v>
          </cell>
          <cell r="AG378">
            <v>-9378541.4000000004</v>
          </cell>
          <cell r="AH378">
            <v>-5145419.41</v>
          </cell>
          <cell r="AI378">
            <v>-4794919.3499999996</v>
          </cell>
          <cell r="AJ378">
            <v>-3198098.24</v>
          </cell>
          <cell r="AK378">
            <v>-3354534.96</v>
          </cell>
          <cell r="AL378">
            <v>-4471527.16</v>
          </cell>
          <cell r="AM378">
            <v>-9428584</v>
          </cell>
          <cell r="AN378">
            <v>-8167328.8499999996</v>
          </cell>
          <cell r="AO378">
            <v>-2335011.85</v>
          </cell>
          <cell r="AP378">
            <v>-11570825.41</v>
          </cell>
          <cell r="AQ378">
            <v>-4085818.33</v>
          </cell>
          <cell r="AR378">
            <v>-8579654.4199999999</v>
          </cell>
          <cell r="AS378">
            <v>-13996852.880000001</v>
          </cell>
          <cell r="AT378">
            <v>-2652294.5699999998</v>
          </cell>
          <cell r="AU378">
            <v>-7947779.4699999997</v>
          </cell>
          <cell r="AV378">
            <v>-4475478.76</v>
          </cell>
          <cell r="AW378">
            <v>-3001050.01</v>
          </cell>
          <cell r="AX378">
            <v>-4552101.5599999996</v>
          </cell>
          <cell r="AY378">
            <v>-11106331.35</v>
          </cell>
          <cell r="AZ378">
            <v>-8001423.8399999999</v>
          </cell>
          <cell r="BA378">
            <v>-7200932.1200000001</v>
          </cell>
          <cell r="BB378">
            <v>-6628314.75</v>
          </cell>
          <cell r="BC378">
            <v>-6442004.6100000003</v>
          </cell>
          <cell r="BD378">
            <v>-6810752.4900000002</v>
          </cell>
          <cell r="BE378">
            <v>-10383811.17</v>
          </cell>
          <cell r="BF378">
            <v>-8069878.9900000002</v>
          </cell>
          <cell r="BG378">
            <v>-7327866.2999999998</v>
          </cell>
          <cell r="BH378">
            <v>-6511592.1900000004</v>
          </cell>
          <cell r="BI378">
            <v>-7276455.1500000004</v>
          </cell>
          <cell r="BJ378">
            <v>-7215628.9900000002</v>
          </cell>
          <cell r="BK378">
            <v>-10352349.220000001</v>
          </cell>
          <cell r="BL378">
            <v>-9568954.1999999993</v>
          </cell>
          <cell r="BM378">
            <v>-9616311.0399999991</v>
          </cell>
          <cell r="BN378">
            <v>-6876694.0800000001</v>
          </cell>
          <cell r="BO378">
            <v>-7920958.7300000004</v>
          </cell>
          <cell r="BP378">
            <v>-6148636.7999999998</v>
          </cell>
          <cell r="BQ378">
            <v>-9403019.9900000002</v>
          </cell>
          <cell r="BR378">
            <v>-8706554.6799999997</v>
          </cell>
          <cell r="BS378">
            <v>-5766291.2599999998</v>
          </cell>
          <cell r="BT378">
            <v>-6705108.0700000003</v>
          </cell>
          <cell r="BU378">
            <v>-6340705.25</v>
          </cell>
          <cell r="BV378">
            <v>-5809051.1900000004</v>
          </cell>
          <cell r="BW378">
            <v>-9435761.0399999991</v>
          </cell>
          <cell r="BX378">
            <v>-11465299.789999999</v>
          </cell>
          <cell r="BY378">
            <v>-8005256.3899999997</v>
          </cell>
          <cell r="BZ378">
            <v>-6583208.2400000002</v>
          </cell>
          <cell r="CA378">
            <v>-8367624.71</v>
          </cell>
          <cell r="CB378">
            <v>-6436943.6799999997</v>
          </cell>
          <cell r="CC378">
            <v>-9806231.4000000004</v>
          </cell>
          <cell r="CD378">
            <v>-10042270.17</v>
          </cell>
          <cell r="CE378">
            <v>-6059639.7400000002</v>
          </cell>
          <cell r="CF378">
            <v>-5253805.97</v>
          </cell>
          <cell r="CG378">
            <v>-7058433.2699999996</v>
          </cell>
          <cell r="CH378">
            <v>-6069072.0199999996</v>
          </cell>
          <cell r="CI378">
            <v>-12802384.42</v>
          </cell>
          <cell r="CJ378">
            <v>-14186404.26</v>
          </cell>
          <cell r="CK378">
            <v>-12774503.279999999</v>
          </cell>
          <cell r="CL378">
            <v>-12213369.23</v>
          </cell>
          <cell r="CM378">
            <v>-5551002.8600000003</v>
          </cell>
          <cell r="CN378">
            <v>-15103570.75</v>
          </cell>
          <cell r="CO378">
            <v>-11668179.66</v>
          </cell>
          <cell r="CP378">
            <v>-13634860.560000001</v>
          </cell>
          <cell r="CQ378">
            <v>-12336510.57</v>
          </cell>
          <cell r="CR378">
            <v>-10228568.550000001</v>
          </cell>
          <cell r="CS378">
            <v>-14919462.68</v>
          </cell>
          <cell r="CT378">
            <v>-11299470.59</v>
          </cell>
          <cell r="CU378">
            <v>-13776142.67</v>
          </cell>
          <cell r="CV378">
            <v>-16072202.789999999</v>
          </cell>
          <cell r="CW378">
            <v>-13834651.859999999</v>
          </cell>
          <cell r="CX378">
            <v>-13329201.52</v>
          </cell>
          <cell r="CY378">
            <v>-15230920.619999999</v>
          </cell>
          <cell r="CZ378">
            <v>-10942503.539999999</v>
          </cell>
          <cell r="DA378">
            <v>-13229110.449999999</v>
          </cell>
          <cell r="DB378">
            <v>-15795049.810000001</v>
          </cell>
          <cell r="DC378">
            <v>-15179281.59</v>
          </cell>
          <cell r="DD378">
            <v>-11760573.24</v>
          </cell>
          <cell r="DE378">
            <v>-11920240.18</v>
          </cell>
          <cell r="DF378">
            <v>-9260249.9700000007</v>
          </cell>
          <cell r="DG378">
            <v>-14395230.34</v>
          </cell>
          <cell r="DH378">
            <v>-28136525.460000001</v>
          </cell>
        </row>
        <row r="379">
          <cell r="A379" t="str">
            <v>235</v>
          </cell>
          <cell r="D379">
            <v>-38962429.020000003</v>
          </cell>
          <cell r="E379">
            <v>-39112595.640000001</v>
          </cell>
          <cell r="F379">
            <v>-39329145.899999999</v>
          </cell>
          <cell r="G379">
            <v>-39461443.399999999</v>
          </cell>
          <cell r="H379">
            <v>-39583104.740000002</v>
          </cell>
          <cell r="I379">
            <v>-39821823.649999999</v>
          </cell>
          <cell r="J379">
            <v>-40036880.060000002</v>
          </cell>
          <cell r="K379">
            <v>-40263756.149999999</v>
          </cell>
          <cell r="L379">
            <v>-40333365.270000003</v>
          </cell>
          <cell r="M379">
            <v>-40544032.380000003</v>
          </cell>
          <cell r="N379">
            <v>-40969295.75</v>
          </cell>
          <cell r="O379">
            <v>-40712822.090000004</v>
          </cell>
          <cell r="P379">
            <v>-40677812.380000003</v>
          </cell>
          <cell r="Q379">
            <v>-40827863.630000003</v>
          </cell>
          <cell r="R379">
            <v>-40820118.770000003</v>
          </cell>
          <cell r="S379">
            <v>-40888398.490000002</v>
          </cell>
          <cell r="T379">
            <v>-41089494.909999996</v>
          </cell>
          <cell r="U379">
            <v>-41312343.25</v>
          </cell>
          <cell r="V379">
            <v>-41383647.420000002</v>
          </cell>
          <cell r="W379">
            <v>-41410597.799999997</v>
          </cell>
          <cell r="X379">
            <v>-41393510.390000001</v>
          </cell>
          <cell r="Y379">
            <v>-41450160.880000003</v>
          </cell>
          <cell r="Z379">
            <v>-41587989.280000001</v>
          </cell>
          <cell r="AA379">
            <v>-41843452.020000003</v>
          </cell>
          <cell r="AB379">
            <v>-41965312.640000001</v>
          </cell>
          <cell r="AC379">
            <v>-40665207.799999997</v>
          </cell>
          <cell r="AD379">
            <v>-39610666.600000001</v>
          </cell>
          <cell r="AE379">
            <v>-38879324.659999996</v>
          </cell>
          <cell r="AF379">
            <v>-37845487.399999999</v>
          </cell>
          <cell r="AG379">
            <v>-36776756.5</v>
          </cell>
          <cell r="AH379">
            <v>-35960623.130000003</v>
          </cell>
          <cell r="AI379">
            <v>-34851425.530000001</v>
          </cell>
          <cell r="AJ379">
            <v>-33817141.539999999</v>
          </cell>
          <cell r="AK379">
            <v>-32932805.510000002</v>
          </cell>
          <cell r="AL379">
            <v>-31621202.239999998</v>
          </cell>
          <cell r="AM379">
            <v>-30521670.870000001</v>
          </cell>
          <cell r="AN379">
            <v>-28903717.68</v>
          </cell>
          <cell r="AO379">
            <v>-28196166.109999999</v>
          </cell>
          <cell r="AP379">
            <v>-27625247.010000002</v>
          </cell>
          <cell r="AQ379">
            <v>-27379223.07</v>
          </cell>
          <cell r="AR379">
            <v>-27370196.93</v>
          </cell>
          <cell r="AS379">
            <v>-27206476.620000001</v>
          </cell>
          <cell r="AT379">
            <v>-27083939.870000001</v>
          </cell>
          <cell r="AU379">
            <v>-26895005.5</v>
          </cell>
          <cell r="AV379">
            <v>-26863874.789999999</v>
          </cell>
          <cell r="AW379">
            <v>-26776195.57</v>
          </cell>
          <cell r="AX379">
            <v>-26781165.579999998</v>
          </cell>
          <cell r="AY379">
            <v>-26615167.710000001</v>
          </cell>
          <cell r="AZ379">
            <v>-26514398.550000001</v>
          </cell>
          <cell r="BA379">
            <v>-26363703.129999999</v>
          </cell>
          <cell r="BB379">
            <v>-26395380.91</v>
          </cell>
          <cell r="BC379">
            <v>-26455339.93</v>
          </cell>
          <cell r="BD379">
            <v>-26531333.899999999</v>
          </cell>
          <cell r="BE379">
            <v>-26616760.98</v>
          </cell>
          <cell r="BF379">
            <v>-26666275.280000001</v>
          </cell>
          <cell r="BG379">
            <v>-26688232.690000001</v>
          </cell>
          <cell r="BH379">
            <v>-26586983.190000001</v>
          </cell>
          <cell r="BI379">
            <v>-26554012.34</v>
          </cell>
          <cell r="BJ379">
            <v>-26503257.5</v>
          </cell>
          <cell r="BK379">
            <v>-26477855.82</v>
          </cell>
          <cell r="BL379">
            <v>-26414685.43</v>
          </cell>
          <cell r="BM379">
            <v>-26378705.32</v>
          </cell>
          <cell r="BN379">
            <v>-26409455.109999999</v>
          </cell>
          <cell r="BO379">
            <v>-26436131.82</v>
          </cell>
          <cell r="BP379">
            <v>-26368349.969999999</v>
          </cell>
          <cell r="BQ379">
            <v>-26391817.390000001</v>
          </cell>
          <cell r="BR379">
            <v>-26389020.23</v>
          </cell>
          <cell r="BS379">
            <v>-26373615.09</v>
          </cell>
          <cell r="BT379">
            <v>-26281969.59</v>
          </cell>
          <cell r="BU379">
            <v>-26203262.850000001</v>
          </cell>
          <cell r="BV379">
            <v>-26264380.539999999</v>
          </cell>
          <cell r="BW379">
            <v>-26260903.879999999</v>
          </cell>
          <cell r="BX379">
            <v>-26273516</v>
          </cell>
          <cell r="BY379">
            <v>-26234571.920000002</v>
          </cell>
          <cell r="BZ379">
            <v>-26322441.66</v>
          </cell>
          <cell r="CA379">
            <v>-26315300.809999999</v>
          </cell>
          <cell r="CB379">
            <v>-26262756</v>
          </cell>
          <cell r="CC379">
            <v>-26163201.969999999</v>
          </cell>
          <cell r="CD379">
            <v>-26058047.059999999</v>
          </cell>
          <cell r="CE379">
            <v>-26050799.27</v>
          </cell>
          <cell r="CF379">
            <v>-26010773.23</v>
          </cell>
          <cell r="CG379">
            <v>-26026972.77</v>
          </cell>
          <cell r="CH379">
            <v>-25987550.68</v>
          </cell>
          <cell r="CI379">
            <v>-25927305.43</v>
          </cell>
          <cell r="CJ379">
            <v>-25669278.079999998</v>
          </cell>
          <cell r="CK379">
            <v>-25835811.829999998</v>
          </cell>
          <cell r="CL379">
            <v>-25862973.25</v>
          </cell>
          <cell r="CM379">
            <v>-25976420.379999999</v>
          </cell>
          <cell r="CN379">
            <v>-25907474.699999999</v>
          </cell>
          <cell r="CO379">
            <v>-25996263.77</v>
          </cell>
          <cell r="CP379">
            <v>-26118439.879999999</v>
          </cell>
          <cell r="CQ379">
            <v>-26285203.600000001</v>
          </cell>
          <cell r="CR379">
            <v>-26361528.359999999</v>
          </cell>
          <cell r="CS379">
            <v>-26541796.670000002</v>
          </cell>
          <cell r="CT379">
            <v>-26678226.34</v>
          </cell>
          <cell r="CU379">
            <v>-26904461.460000001</v>
          </cell>
          <cell r="CV379">
            <v>-27054409.190000001</v>
          </cell>
          <cell r="CW379">
            <v>-27328605.280000001</v>
          </cell>
          <cell r="CX379">
            <v>-27441940.440000001</v>
          </cell>
          <cell r="CY379">
            <v>-27629575.949999999</v>
          </cell>
          <cell r="CZ379">
            <v>-27746982.91</v>
          </cell>
          <cell r="DA379">
            <v>-27983426.920000002</v>
          </cell>
          <cell r="DB379">
            <v>-28348424.100000001</v>
          </cell>
          <cell r="DC379">
            <v>-28566511.77</v>
          </cell>
          <cell r="DD379">
            <v>-28784521.449999999</v>
          </cell>
          <cell r="DE379">
            <v>-29071241.420000002</v>
          </cell>
          <cell r="DF379">
            <v>-29241534.52</v>
          </cell>
          <cell r="DG379">
            <v>-29454164.27</v>
          </cell>
          <cell r="DH379">
            <v>-29859419.059999999</v>
          </cell>
        </row>
        <row r="380">
          <cell r="A380" t="str">
            <v>236</v>
          </cell>
          <cell r="D380">
            <v>-2661809.34</v>
          </cell>
          <cell r="E380">
            <v>-5180760.78</v>
          </cell>
          <cell r="F380">
            <v>-8821051.5899999999</v>
          </cell>
          <cell r="G380">
            <v>-13537710.529999999</v>
          </cell>
          <cell r="H380">
            <v>-8074034.5199999996</v>
          </cell>
          <cell r="I380">
            <v>-10106416.33</v>
          </cell>
          <cell r="J380">
            <v>-4232470.18</v>
          </cell>
          <cell r="K380">
            <v>-4678034.47</v>
          </cell>
          <cell r="L380">
            <v>-5537125.4800000004</v>
          </cell>
          <cell r="M380">
            <v>-2803181.21</v>
          </cell>
          <cell r="N380">
            <v>-8181970.9800000004</v>
          </cell>
          <cell r="O380">
            <v>1388230.13</v>
          </cell>
          <cell r="P380">
            <v>-3125457.54</v>
          </cell>
          <cell r="Q380">
            <v>2874887.69</v>
          </cell>
          <cell r="R380">
            <v>448782.35</v>
          </cell>
          <cell r="S380">
            <v>-13008565.060000001</v>
          </cell>
          <cell r="T380">
            <v>-7852275.29</v>
          </cell>
          <cell r="U380">
            <v>-9473014.7899999991</v>
          </cell>
          <cell r="V380">
            <v>-4786486.72</v>
          </cell>
          <cell r="W380">
            <v>-5742041.29</v>
          </cell>
          <cell r="X380">
            <v>-7537266.29</v>
          </cell>
          <cell r="Y380">
            <v>-6041060.71</v>
          </cell>
          <cell r="Z380">
            <v>-6234959.2199999997</v>
          </cell>
          <cell r="AA380">
            <v>2185491.84</v>
          </cell>
          <cell r="AB380">
            <v>-3120655.9</v>
          </cell>
          <cell r="AC380">
            <v>7715315.5599999996</v>
          </cell>
          <cell r="AD380">
            <v>3665281.86</v>
          </cell>
          <cell r="AE380">
            <v>-11655581.529999999</v>
          </cell>
          <cell r="AF380">
            <v>-7348286.0199999996</v>
          </cell>
          <cell r="AG380">
            <v>-8359565.5300000003</v>
          </cell>
          <cell r="AH380">
            <v>-3701789.58</v>
          </cell>
          <cell r="AI380">
            <v>-3909603.74</v>
          </cell>
          <cell r="AJ380">
            <v>-4047479.05</v>
          </cell>
          <cell r="AK380">
            <v>-10584268.789999999</v>
          </cell>
          <cell r="AL380">
            <v>-9600657.3800000008</v>
          </cell>
          <cell r="AM380">
            <v>-892689.84</v>
          </cell>
          <cell r="AN380">
            <v>-3323403.18</v>
          </cell>
          <cell r="AO380">
            <v>-4081388.93</v>
          </cell>
          <cell r="AP380">
            <v>-5102247.07</v>
          </cell>
          <cell r="AQ380">
            <v>-6243704.0800000001</v>
          </cell>
          <cell r="AR380">
            <v>-8059699.54</v>
          </cell>
          <cell r="AS380">
            <v>-7823994.8399999999</v>
          </cell>
          <cell r="AT380">
            <v>-8293666.0499999998</v>
          </cell>
          <cell r="AU380">
            <v>-7169149.1200000001</v>
          </cell>
          <cell r="AV380">
            <v>-7239049.1699999999</v>
          </cell>
          <cell r="AW380">
            <v>-9702564.8399999999</v>
          </cell>
          <cell r="AX380">
            <v>-8808994.9299999997</v>
          </cell>
          <cell r="AY380">
            <v>661714.59</v>
          </cell>
          <cell r="AZ380">
            <v>-9211122.5999999996</v>
          </cell>
          <cell r="BA380">
            <v>-13572600.4</v>
          </cell>
          <cell r="BB380">
            <v>-14600365.470000001</v>
          </cell>
          <cell r="BC380">
            <v>-16231247.41</v>
          </cell>
          <cell r="BD380">
            <v>-11145731.16</v>
          </cell>
          <cell r="BE380">
            <v>-12161457.390000001</v>
          </cell>
          <cell r="BF380">
            <v>-11591468.59</v>
          </cell>
          <cell r="BG380">
            <v>-11572036.550000001</v>
          </cell>
          <cell r="BH380">
            <v>-11799321.119999999</v>
          </cell>
          <cell r="BI380">
            <v>-12219601.689999999</v>
          </cell>
          <cell r="BJ380">
            <v>-12874721.99</v>
          </cell>
          <cell r="BK380">
            <v>463617.95</v>
          </cell>
          <cell r="BL380">
            <v>-6451121.5300000003</v>
          </cell>
          <cell r="BM380">
            <v>-8941824.9199999999</v>
          </cell>
          <cell r="BN380">
            <v>-9832166</v>
          </cell>
          <cell r="BO380">
            <v>-11847959.99</v>
          </cell>
          <cell r="BP380">
            <v>-10251864.82</v>
          </cell>
          <cell r="BQ380">
            <v>-11744991.890000001</v>
          </cell>
          <cell r="BR380">
            <v>-11986398.289999999</v>
          </cell>
          <cell r="BS380">
            <v>-12146912.060000001</v>
          </cell>
          <cell r="BT380">
            <v>-12819012.73</v>
          </cell>
          <cell r="BU380">
            <v>-12254391.369999999</v>
          </cell>
          <cell r="BV380">
            <v>-13590333.82</v>
          </cell>
          <cell r="BW380">
            <v>-3703619.73</v>
          </cell>
          <cell r="BX380">
            <v>-4000873.32</v>
          </cell>
          <cell r="BY380">
            <v>-7739225.3899999997</v>
          </cell>
          <cell r="BZ380">
            <v>-6636305.2599999998</v>
          </cell>
          <cell r="CA380">
            <v>-8121303.8300000001</v>
          </cell>
          <cell r="CB380">
            <v>-9757295.5199999996</v>
          </cell>
          <cell r="CC380">
            <v>-10765886.560000001</v>
          </cell>
          <cell r="CD380">
            <v>-12823264.51</v>
          </cell>
          <cell r="CE380">
            <v>-12925459.140000001</v>
          </cell>
          <cell r="CF380">
            <v>-14466550.1</v>
          </cell>
          <cell r="CG380">
            <v>-16083975.449999999</v>
          </cell>
          <cell r="CH380">
            <v>-16100457.58</v>
          </cell>
          <cell r="CI380">
            <v>-5612356.0300000003</v>
          </cell>
          <cell r="CJ380">
            <v>-6793552.75</v>
          </cell>
          <cell r="CK380">
            <v>-11092050.33</v>
          </cell>
          <cell r="CL380">
            <v>-13454663.57</v>
          </cell>
          <cell r="CM380">
            <v>-13696435.42</v>
          </cell>
          <cell r="CN380">
            <v>-13245149.210000001</v>
          </cell>
          <cell r="CO380">
            <v>-13762335.24</v>
          </cell>
          <cell r="CP380">
            <v>-15275107.060000001</v>
          </cell>
          <cell r="CQ380">
            <v>-15073857.289999999</v>
          </cell>
          <cell r="CR380">
            <v>-16948134.420000002</v>
          </cell>
          <cell r="CS380">
            <v>-14409446.15</v>
          </cell>
          <cell r="CT380">
            <v>-14270872.98</v>
          </cell>
          <cell r="CU380">
            <v>-625641.26</v>
          </cell>
          <cell r="CV380">
            <v>-5470037.29</v>
          </cell>
          <cell r="CW380">
            <v>-5354349.95</v>
          </cell>
          <cell r="CX380">
            <v>-10627889.68</v>
          </cell>
          <cell r="CY380">
            <v>-11968092.49</v>
          </cell>
          <cell r="CZ380">
            <v>-16722499.220000001</v>
          </cell>
          <cell r="DA380">
            <v>-18739025.32</v>
          </cell>
          <cell r="DB380">
            <v>-18805484.620000001</v>
          </cell>
          <cell r="DC380">
            <v>-18581565.469999999</v>
          </cell>
          <cell r="DD380">
            <v>-16900474.149999999</v>
          </cell>
          <cell r="DE380">
            <v>-18963908.780000001</v>
          </cell>
          <cell r="DF380">
            <v>-20286578.75</v>
          </cell>
          <cell r="DG380">
            <v>-4641000.38</v>
          </cell>
          <cell r="DH380">
            <v>-5191933.03</v>
          </cell>
        </row>
        <row r="381">
          <cell r="A381" t="str">
            <v>237</v>
          </cell>
          <cell r="D381">
            <v>-1777759.74</v>
          </cell>
          <cell r="E381">
            <v>-2851859.98</v>
          </cell>
          <cell r="F381">
            <v>-3924698.87</v>
          </cell>
          <cell r="G381">
            <v>-4672118.37</v>
          </cell>
          <cell r="H381">
            <v>-5743876.3499999996</v>
          </cell>
          <cell r="I381">
            <v>-2200995.88</v>
          </cell>
          <cell r="J381">
            <v>-2282197.87</v>
          </cell>
          <cell r="K381">
            <v>-3388282.32</v>
          </cell>
          <cell r="L381">
            <v>-3585974.15</v>
          </cell>
          <cell r="M381">
            <v>-4377324.16</v>
          </cell>
          <cell r="N381">
            <v>-5492687.0999999996</v>
          </cell>
          <cell r="O381">
            <v>-1755680.89</v>
          </cell>
          <cell r="P381">
            <v>-1844901.51</v>
          </cell>
          <cell r="Q381">
            <v>-2956754.27</v>
          </cell>
          <cell r="R381">
            <v>-4068292.15</v>
          </cell>
          <cell r="S381">
            <v>-4853522.32</v>
          </cell>
          <cell r="T381">
            <v>-5964777.3600000003</v>
          </cell>
          <cell r="U381">
            <v>-2255473.77</v>
          </cell>
          <cell r="V381">
            <v>-2408319.5</v>
          </cell>
          <cell r="W381">
            <v>-3586757.24</v>
          </cell>
          <cell r="X381">
            <v>-3829443.16</v>
          </cell>
          <cell r="Y381">
            <v>-4693167.0199999996</v>
          </cell>
          <cell r="Z381">
            <v>-5881253.3300000001</v>
          </cell>
          <cell r="AA381">
            <v>-1800558.87</v>
          </cell>
          <cell r="AB381">
            <v>-1626904.81</v>
          </cell>
          <cell r="AC381">
            <v>-2816704.19</v>
          </cell>
          <cell r="AD381">
            <v>-4002188.3</v>
          </cell>
          <cell r="AE381">
            <v>-4858905.9000000004</v>
          </cell>
          <cell r="AF381">
            <v>-6037300.6799999997</v>
          </cell>
          <cell r="AG381">
            <v>-1942123.09</v>
          </cell>
          <cell r="AH381">
            <v>-2089537.43</v>
          </cell>
          <cell r="AI381">
            <v>-3257255.91</v>
          </cell>
          <cell r="AJ381">
            <v>-3819198.74</v>
          </cell>
          <cell r="AK381">
            <v>-4664755.87</v>
          </cell>
          <cell r="AL381">
            <v>-5832516.3899999997</v>
          </cell>
          <cell r="AM381">
            <v>-1725098.14</v>
          </cell>
          <cell r="AN381">
            <v>-1610349</v>
          </cell>
          <cell r="AO381">
            <v>-2770211.73</v>
          </cell>
          <cell r="AP381">
            <v>-3926470.74</v>
          </cell>
          <cell r="AQ381">
            <v>-4756681.2</v>
          </cell>
          <cell r="AR381">
            <v>-5910056.5700000003</v>
          </cell>
          <cell r="AS381">
            <v>-1791805.36</v>
          </cell>
          <cell r="AT381">
            <v>-1918348.83</v>
          </cell>
          <cell r="AU381">
            <v>-3064081.38</v>
          </cell>
          <cell r="AV381">
            <v>-4211704.8899999997</v>
          </cell>
          <cell r="AW381">
            <v>-5034860.0999999996</v>
          </cell>
          <cell r="AX381">
            <v>-6181157.9400000004</v>
          </cell>
          <cell r="AY381">
            <v>-2053097.21</v>
          </cell>
          <cell r="AZ381">
            <v>-1610109.86</v>
          </cell>
          <cell r="BA381">
            <v>-2767509.09</v>
          </cell>
          <cell r="BB381">
            <v>-3924170</v>
          </cell>
          <cell r="BC381">
            <v>-4753846.54</v>
          </cell>
          <cell r="BD381">
            <v>-5908484.71</v>
          </cell>
          <cell r="BE381">
            <v>-1665369.45</v>
          </cell>
          <cell r="BF381">
            <v>-1537027.2</v>
          </cell>
          <cell r="BG381">
            <v>-2909793.69</v>
          </cell>
          <cell r="BH381">
            <v>-4075867.62</v>
          </cell>
          <cell r="BI381">
            <v>-4916046.93</v>
          </cell>
          <cell r="BJ381">
            <v>-6159875.5599999996</v>
          </cell>
          <cell r="BK381">
            <v>-3671296.08</v>
          </cell>
          <cell r="BL381">
            <v>-1628035.39</v>
          </cell>
          <cell r="BM381">
            <v>-2893134.08</v>
          </cell>
          <cell r="BN381">
            <v>-4157387.1</v>
          </cell>
          <cell r="BO381">
            <v>-5094971.4800000004</v>
          </cell>
          <cell r="BP381">
            <v>-6357873.5</v>
          </cell>
          <cell r="BQ381">
            <v>-3873812.46</v>
          </cell>
          <cell r="BR381">
            <v>-1719866.43</v>
          </cell>
          <cell r="BS381">
            <v>-2996951.33</v>
          </cell>
          <cell r="BT381">
            <v>-4329094.1399999997</v>
          </cell>
          <cell r="BU381">
            <v>-5336768.17</v>
          </cell>
          <cell r="BV381">
            <v>-6668669.4100000001</v>
          </cell>
          <cell r="BW381">
            <v>-4253442.32</v>
          </cell>
          <cell r="BX381">
            <v>-1450837.09</v>
          </cell>
          <cell r="BY381">
            <v>-2790870.41</v>
          </cell>
          <cell r="BZ381">
            <v>-4130760</v>
          </cell>
          <cell r="CA381">
            <v>-5138976.83</v>
          </cell>
          <cell r="CB381">
            <v>-6476256.1699999999</v>
          </cell>
          <cell r="CC381">
            <v>-4067159.89</v>
          </cell>
          <cell r="CD381">
            <v>-1755227.5</v>
          </cell>
          <cell r="CE381">
            <v>-3088454.96</v>
          </cell>
          <cell r="CF381">
            <v>-4420758.18</v>
          </cell>
          <cell r="CG381">
            <v>-5426815.9400000004</v>
          </cell>
          <cell r="CH381">
            <v>-6756177.0099999998</v>
          </cell>
          <cell r="CI381">
            <v>-4341584.26</v>
          </cell>
          <cell r="CJ381">
            <v>-1444460.74</v>
          </cell>
          <cell r="CK381">
            <v>-2783860.37</v>
          </cell>
          <cell r="CL381">
            <v>-4122852.14</v>
          </cell>
          <cell r="CM381">
            <v>-5453952.0800000001</v>
          </cell>
          <cell r="CN381">
            <v>-7351672</v>
          </cell>
          <cell r="CO381">
            <v>-5292848.7699999996</v>
          </cell>
          <cell r="CP381">
            <v>-3437048.73</v>
          </cell>
          <cell r="CQ381">
            <v>-5123939.24</v>
          </cell>
          <cell r="CR381">
            <v>-6809838.7199999997</v>
          </cell>
          <cell r="CS381">
            <v>-4769517.4800000004</v>
          </cell>
          <cell r="CT381">
            <v>-6452853.7000000002</v>
          </cell>
          <cell r="CU381">
            <v>-5655604.2999999998</v>
          </cell>
          <cell r="CV381">
            <v>-3091860.12</v>
          </cell>
          <cell r="CW381">
            <v>-4784625.57</v>
          </cell>
          <cell r="CX381">
            <v>-6477240.7999999998</v>
          </cell>
          <cell r="CY381">
            <v>-4481144.78</v>
          </cell>
          <cell r="CZ381">
            <v>-6172977.6900000004</v>
          </cell>
          <cell r="DA381">
            <v>-5381666.96</v>
          </cell>
          <cell r="DB381">
            <v>-3425060.26</v>
          </cell>
          <cell r="DC381">
            <v>-5281656.1399999997</v>
          </cell>
          <cell r="DD381">
            <v>-7248784.8700000001</v>
          </cell>
          <cell r="DE381">
            <v>-5501163.5499999998</v>
          </cell>
          <cell r="DF381">
            <v>-7413285.6699999999</v>
          </cell>
          <cell r="DG381">
            <v>-6844257.0199999996</v>
          </cell>
          <cell r="DH381">
            <v>-4458906.53</v>
          </cell>
        </row>
        <row r="382">
          <cell r="A382" t="str">
            <v>238</v>
          </cell>
          <cell r="D382">
            <v>0</v>
          </cell>
          <cell r="E382">
            <v>-7357286.6799999997</v>
          </cell>
          <cell r="F382">
            <v>0</v>
          </cell>
          <cell r="G382">
            <v>0</v>
          </cell>
          <cell r="H382">
            <v>-11948603.68</v>
          </cell>
          <cell r="I382">
            <v>0</v>
          </cell>
          <cell r="J382">
            <v>0</v>
          </cell>
          <cell r="K382">
            <v>-9971893.4700000007</v>
          </cell>
          <cell r="L382">
            <v>0</v>
          </cell>
          <cell r="M382">
            <v>0</v>
          </cell>
          <cell r="N382">
            <v>-5874136.4699999997</v>
          </cell>
          <cell r="O382">
            <v>0</v>
          </cell>
          <cell r="P382">
            <v>0</v>
          </cell>
          <cell r="Q382">
            <v>0</v>
          </cell>
          <cell r="R382">
            <v>-6579361.9699999997</v>
          </cell>
          <cell r="S382">
            <v>0</v>
          </cell>
          <cell r="T382">
            <v>-14236193.27</v>
          </cell>
          <cell r="U382">
            <v>0</v>
          </cell>
          <cell r="V382">
            <v>0</v>
          </cell>
          <cell r="W382">
            <v>-8836348.5500000007</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E382">
            <v>-15456143.34</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-27095926</v>
          </cell>
          <cell r="CO382">
            <v>0</v>
          </cell>
          <cell r="CP382">
            <v>0</v>
          </cell>
          <cell r="CQ382">
            <v>0</v>
          </cell>
          <cell r="CR382">
            <v>0</v>
          </cell>
          <cell r="CS382">
            <v>0</v>
          </cell>
          <cell r="CT382">
            <v>0</v>
          </cell>
          <cell r="CU382">
            <v>0</v>
          </cell>
          <cell r="CV382">
            <v>0</v>
          </cell>
          <cell r="CW382">
            <v>0</v>
          </cell>
          <cell r="CX382">
            <v>0</v>
          </cell>
          <cell r="CY382">
            <v>0</v>
          </cell>
          <cell r="CZ382">
            <v>-29543003</v>
          </cell>
          <cell r="DA382">
            <v>0</v>
          </cell>
          <cell r="DB382">
            <v>0</v>
          </cell>
          <cell r="DC382">
            <v>0</v>
          </cell>
          <cell r="DD382">
            <v>0</v>
          </cell>
          <cell r="DE382">
            <v>0</v>
          </cell>
          <cell r="DF382">
            <v>-16227366</v>
          </cell>
          <cell r="DG382">
            <v>0</v>
          </cell>
          <cell r="DH382">
            <v>0</v>
          </cell>
        </row>
        <row r="383">
          <cell r="A383" t="str">
            <v>241</v>
          </cell>
          <cell r="D383">
            <v>-614504.11</v>
          </cell>
          <cell r="E383">
            <v>-1811549.86</v>
          </cell>
          <cell r="F383">
            <v>-857926.3</v>
          </cell>
          <cell r="G383">
            <v>-722767.87</v>
          </cell>
          <cell r="H383">
            <v>-644467.26</v>
          </cell>
          <cell r="I383">
            <v>-589653.07999999996</v>
          </cell>
          <cell r="J383">
            <v>-571462.40000000002</v>
          </cell>
          <cell r="K383">
            <v>-575332.19999999995</v>
          </cell>
          <cell r="L383">
            <v>-521313.55</v>
          </cell>
          <cell r="M383">
            <v>-543111.43999999994</v>
          </cell>
          <cell r="N383">
            <v>-566268.68000000005</v>
          </cell>
          <cell r="O383">
            <v>-583233.68000000005</v>
          </cell>
          <cell r="P383">
            <v>-705383.5</v>
          </cell>
          <cell r="Q383">
            <v>-821585.97</v>
          </cell>
          <cell r="R383">
            <v>-821348.03</v>
          </cell>
          <cell r="S383">
            <v>-777644.03</v>
          </cell>
          <cell r="T383">
            <v>-876828.85</v>
          </cell>
          <cell r="U383">
            <v>-782945.47</v>
          </cell>
          <cell r="V383">
            <v>-589778.24</v>
          </cell>
          <cell r="W383">
            <v>-546821.84</v>
          </cell>
          <cell r="X383">
            <v>-542540.61</v>
          </cell>
          <cell r="Y383">
            <v>-522030.53</v>
          </cell>
          <cell r="Z383">
            <v>-523961.29</v>
          </cell>
          <cell r="AA383">
            <v>-565244.86</v>
          </cell>
          <cell r="AB383">
            <v>-673853.43</v>
          </cell>
          <cell r="AC383">
            <v>-744874.22</v>
          </cell>
          <cell r="AD383">
            <v>-808152.3</v>
          </cell>
          <cell r="AE383">
            <v>-726688.28</v>
          </cell>
          <cell r="AF383">
            <v>-679392.72</v>
          </cell>
          <cell r="AG383">
            <v>-583746.22</v>
          </cell>
          <cell r="AH383">
            <v>-536966.68000000005</v>
          </cell>
          <cell r="AI383">
            <v>-511506.26</v>
          </cell>
          <cell r="AJ383">
            <v>-498812.41</v>
          </cell>
          <cell r="AK383">
            <v>-506211.05</v>
          </cell>
          <cell r="AL383">
            <v>-516229.51</v>
          </cell>
          <cell r="AM383">
            <v>-553737.23</v>
          </cell>
          <cell r="AN383">
            <v>-650854.43999999994</v>
          </cell>
          <cell r="AO383">
            <v>-703034.59</v>
          </cell>
          <cell r="AP383">
            <v>-705260.46</v>
          </cell>
          <cell r="AQ383">
            <v>-694409.3</v>
          </cell>
          <cell r="AR383">
            <v>-691374.94</v>
          </cell>
          <cell r="AS383">
            <v>-638219.59</v>
          </cell>
          <cell r="AT383">
            <v>-596347.6</v>
          </cell>
          <cell r="AU383">
            <v>-536500.30000000005</v>
          </cell>
          <cell r="AV383">
            <v>-852001.99</v>
          </cell>
          <cell r="AW383">
            <v>-563866.84</v>
          </cell>
          <cell r="AX383">
            <v>-577410.59</v>
          </cell>
          <cell r="AY383">
            <v>-641805.23</v>
          </cell>
          <cell r="AZ383">
            <v>-737297.56</v>
          </cell>
          <cell r="BA383">
            <v>-969207.6</v>
          </cell>
          <cell r="BB383">
            <v>-881359.19</v>
          </cell>
          <cell r="BC383">
            <v>-789240.84</v>
          </cell>
          <cell r="BD383">
            <v>-748298.9</v>
          </cell>
          <cell r="BE383">
            <v>-652970.85</v>
          </cell>
          <cell r="BF383">
            <v>-694227.32</v>
          </cell>
          <cell r="BG383">
            <v>-599945.51</v>
          </cell>
          <cell r="BH383">
            <v>-598232.11</v>
          </cell>
          <cell r="BI383">
            <v>-565477.14</v>
          </cell>
          <cell r="BJ383">
            <v>-563877.37</v>
          </cell>
          <cell r="BK383">
            <v>-600488.21</v>
          </cell>
          <cell r="BL383">
            <v>-761687.24</v>
          </cell>
          <cell r="BM383">
            <v>-1189908.52</v>
          </cell>
          <cell r="BN383">
            <v>-1157077.9099999999</v>
          </cell>
          <cell r="BO383">
            <v>-767762.11</v>
          </cell>
          <cell r="BP383">
            <v>-801996.15</v>
          </cell>
          <cell r="BQ383">
            <v>-654831.82999999996</v>
          </cell>
          <cell r="BR383">
            <v>-597644.31999999995</v>
          </cell>
          <cell r="BS383">
            <v>-515351.78</v>
          </cell>
          <cell r="BT383">
            <v>-519696.6</v>
          </cell>
          <cell r="BU383">
            <v>-463586.89</v>
          </cell>
          <cell r="BV383">
            <v>-489461.66</v>
          </cell>
          <cell r="BW383">
            <v>-590698.63</v>
          </cell>
          <cell r="BX383">
            <v>-827364.85</v>
          </cell>
          <cell r="BY383">
            <v>-865818.22</v>
          </cell>
          <cell r="BZ383">
            <v>-893777.78</v>
          </cell>
          <cell r="CA383">
            <v>-819534.78</v>
          </cell>
          <cell r="CB383">
            <v>-721348.07</v>
          </cell>
          <cell r="CC383">
            <v>-673097.76</v>
          </cell>
          <cell r="CD383">
            <v>-550073.23</v>
          </cell>
          <cell r="CE383">
            <v>-596933.67000000004</v>
          </cell>
          <cell r="CF383">
            <v>-579820.56000000006</v>
          </cell>
          <cell r="CG383">
            <v>-536728.48</v>
          </cell>
          <cell r="CH383">
            <v>-577097.99</v>
          </cell>
          <cell r="CI383">
            <v>-670531.81999999995</v>
          </cell>
          <cell r="CJ383">
            <v>-1112227.68</v>
          </cell>
          <cell r="CK383">
            <v>-1149761.1000000001</v>
          </cell>
          <cell r="CL383">
            <v>-1168005.95</v>
          </cell>
          <cell r="CM383">
            <v>-1007973.59</v>
          </cell>
          <cell r="CN383">
            <v>-1013886.95</v>
          </cell>
          <cell r="CO383">
            <v>-880678.85</v>
          </cell>
          <cell r="CP383">
            <v>-837037.71</v>
          </cell>
          <cell r="CQ383">
            <v>-836713.12</v>
          </cell>
          <cell r="CR383">
            <v>-799103.2</v>
          </cell>
          <cell r="CS383">
            <v>-874521.06</v>
          </cell>
          <cell r="CT383">
            <v>-786312.01</v>
          </cell>
          <cell r="CU383">
            <v>-889837.51</v>
          </cell>
          <cell r="CV383">
            <v>-1054156.5</v>
          </cell>
          <cell r="CW383">
            <v>-1139143.6799999999</v>
          </cell>
          <cell r="CX383">
            <v>-1270646.8899999999</v>
          </cell>
          <cell r="CY383">
            <v>-1093904.8799999999</v>
          </cell>
          <cell r="CZ383">
            <v>-1022850.36</v>
          </cell>
          <cell r="DA383">
            <v>-958148.75</v>
          </cell>
          <cell r="DB383">
            <v>-1373536.27</v>
          </cell>
          <cell r="DC383">
            <v>-1155455.25</v>
          </cell>
          <cell r="DD383">
            <v>-907567</v>
          </cell>
          <cell r="DE383">
            <v>-946671.31</v>
          </cell>
          <cell r="DF383">
            <v>-988389.62</v>
          </cell>
          <cell r="DG383">
            <v>-892843.06</v>
          </cell>
          <cell r="DH383">
            <v>-1011036.03</v>
          </cell>
        </row>
        <row r="384">
          <cell r="A384" t="str">
            <v>242</v>
          </cell>
          <cell r="D384">
            <v>-44931658.340000004</v>
          </cell>
          <cell r="E384">
            <v>-44950734.18</v>
          </cell>
          <cell r="F384">
            <v>-44981085.130000003</v>
          </cell>
          <cell r="G384">
            <v>-42998342.740000002</v>
          </cell>
          <cell r="H384">
            <v>-42855031.68</v>
          </cell>
          <cell r="I384">
            <v>-42878837.530000001</v>
          </cell>
          <cell r="J384">
            <v>-40274815.659999996</v>
          </cell>
          <cell r="K384">
            <v>-40312183.32</v>
          </cell>
          <cell r="L384">
            <v>-40431842.659999996</v>
          </cell>
          <cell r="M384">
            <v>-37834345.350000001</v>
          </cell>
          <cell r="N384">
            <v>-37871526.369999997</v>
          </cell>
          <cell r="O384">
            <v>-37924514.520000003</v>
          </cell>
          <cell r="P384">
            <v>-37665637.189999998</v>
          </cell>
          <cell r="Q384">
            <v>-37691692.159999996</v>
          </cell>
          <cell r="R384">
            <v>-37725906.149999999</v>
          </cell>
          <cell r="S384">
            <v>-37597247.740000002</v>
          </cell>
          <cell r="T384">
            <v>-37409931.039999999</v>
          </cell>
          <cell r="U384">
            <v>-37435537.549999997</v>
          </cell>
          <cell r="V384">
            <v>-37444858.82</v>
          </cell>
          <cell r="W384">
            <v>-37484386.979999997</v>
          </cell>
          <cell r="X384">
            <v>-37519197.640000001</v>
          </cell>
          <cell r="Y384">
            <v>-37525270.340000004</v>
          </cell>
          <cell r="Z384">
            <v>-37559458.380000003</v>
          </cell>
          <cell r="AA384">
            <v>-37594566.740000002</v>
          </cell>
          <cell r="AB384">
            <v>-39216611.390000001</v>
          </cell>
          <cell r="AC384">
            <v>-39226731.979999997</v>
          </cell>
          <cell r="AD384">
            <v>-39263109.079999998</v>
          </cell>
          <cell r="AE384">
            <v>-41309931.350000001</v>
          </cell>
          <cell r="AF384">
            <v>-41144131.259999998</v>
          </cell>
          <cell r="AG384">
            <v>-40118759.450000003</v>
          </cell>
          <cell r="AH384">
            <v>-38156776.299999997</v>
          </cell>
          <cell r="AI384">
            <v>-38208518.280000001</v>
          </cell>
          <cell r="AJ384">
            <v>-38268696.560000002</v>
          </cell>
          <cell r="AK384">
            <v>-38340124.359999999</v>
          </cell>
          <cell r="AL384">
            <v>-38381213.890000001</v>
          </cell>
          <cell r="AM384">
            <v>-38426476.670000002</v>
          </cell>
          <cell r="AN384">
            <v>-36435390.670000002</v>
          </cell>
          <cell r="AO384">
            <v>-37305555</v>
          </cell>
          <cell r="AP384">
            <v>-36454001.189999998</v>
          </cell>
          <cell r="AQ384">
            <v>-35329414.560000002</v>
          </cell>
          <cell r="AR384">
            <v>-35121818.450000003</v>
          </cell>
          <cell r="AS384">
            <v>-35177616.689999998</v>
          </cell>
          <cell r="AT384">
            <v>-35228955.710000001</v>
          </cell>
          <cell r="AU384">
            <v>-35223672.200000003</v>
          </cell>
          <cell r="AV384">
            <v>-35280628.75</v>
          </cell>
          <cell r="AW384">
            <v>-35288535.609999999</v>
          </cell>
          <cell r="AX384">
            <v>-35354661.950000003</v>
          </cell>
          <cell r="AY384">
            <v>-35397099.969999999</v>
          </cell>
          <cell r="AZ384">
            <v>-35093009.659999996</v>
          </cell>
          <cell r="BA384">
            <v>-35096027.539999999</v>
          </cell>
          <cell r="BB384">
            <v>-35091517.719999999</v>
          </cell>
          <cell r="BC384">
            <v>-33007852.68</v>
          </cell>
          <cell r="BD384">
            <v>-32629118.93</v>
          </cell>
          <cell r="BE384">
            <v>-32615923.190000001</v>
          </cell>
          <cell r="BF384">
            <v>-32552070.690000001</v>
          </cell>
          <cell r="BG384">
            <v>-32551574.780000001</v>
          </cell>
          <cell r="BH384">
            <v>-32573938.859999999</v>
          </cell>
          <cell r="BI384">
            <v>-32574637.129999999</v>
          </cell>
          <cell r="BJ384">
            <v>-32386470.16</v>
          </cell>
          <cell r="BK384">
            <v>-32395268.370000001</v>
          </cell>
          <cell r="BL384">
            <v>-33627468.149999999</v>
          </cell>
          <cell r="BM384">
            <v>-32481514.039999999</v>
          </cell>
          <cell r="BN384">
            <v>-32495951.079999998</v>
          </cell>
          <cell r="BO384">
            <v>-33521093.23</v>
          </cell>
          <cell r="BP384">
            <v>-33534146.449999999</v>
          </cell>
          <cell r="BQ384">
            <v>-33549873.75</v>
          </cell>
          <cell r="BR384">
            <v>-33767772.840000004</v>
          </cell>
          <cell r="BS384">
            <v>-33319099.469999999</v>
          </cell>
          <cell r="BT384">
            <v>-33330380.809999999</v>
          </cell>
          <cell r="BU384">
            <v>-34441912.409999996</v>
          </cell>
          <cell r="BV384">
            <v>-34453514.259999998</v>
          </cell>
          <cell r="BW384">
            <v>-34467074.649999999</v>
          </cell>
          <cell r="BX384">
            <v>-27099276.809999999</v>
          </cell>
          <cell r="BY384">
            <v>-27073525.079999998</v>
          </cell>
          <cell r="BZ384">
            <v>-25771852.690000001</v>
          </cell>
          <cell r="CA384">
            <v>-27035077.399999999</v>
          </cell>
          <cell r="CB384">
            <v>-27049390.68</v>
          </cell>
          <cell r="CC384">
            <v>-27055414.100000001</v>
          </cell>
          <cell r="CD384">
            <v>-27307094.52</v>
          </cell>
          <cell r="CE384">
            <v>-27321825.260000002</v>
          </cell>
          <cell r="CF384">
            <v>-27517296.420000002</v>
          </cell>
          <cell r="CG384">
            <v>-27846797.879999999</v>
          </cell>
          <cell r="CH384">
            <v>-27683967.57</v>
          </cell>
          <cell r="CI384">
            <v>-27667431.43</v>
          </cell>
          <cell r="CJ384">
            <v>-25201688.809999999</v>
          </cell>
          <cell r="CK384">
            <v>-25199915.57</v>
          </cell>
          <cell r="CL384">
            <v>-25229030.93</v>
          </cell>
          <cell r="CM384">
            <v>-24325293.280000001</v>
          </cell>
          <cell r="CN384">
            <v>-24331805.039999999</v>
          </cell>
          <cell r="CO384">
            <v>-24342505.879999999</v>
          </cell>
          <cell r="CP384">
            <v>-24637267.989999998</v>
          </cell>
          <cell r="CQ384">
            <v>-24639938.170000002</v>
          </cell>
          <cell r="CR384">
            <v>-24654333.52</v>
          </cell>
          <cell r="CS384">
            <v>-24479449.57</v>
          </cell>
          <cell r="CT384">
            <v>-24484217.719999999</v>
          </cell>
          <cell r="CU384">
            <v>-24499611.219999999</v>
          </cell>
          <cell r="CV384">
            <v>-23188049.550000001</v>
          </cell>
          <cell r="CW384">
            <v>-23203090.309999999</v>
          </cell>
          <cell r="CX384">
            <v>-23246442.620000001</v>
          </cell>
          <cell r="CY384">
            <v>-23072148.850000001</v>
          </cell>
          <cell r="CZ384">
            <v>-23085348.789999999</v>
          </cell>
          <cell r="DA384">
            <v>-23100372.190000001</v>
          </cell>
          <cell r="DB384">
            <v>-21925618.420000002</v>
          </cell>
          <cell r="DC384">
            <v>-21937688.309999999</v>
          </cell>
          <cell r="DD384">
            <v>-21948802.59</v>
          </cell>
          <cell r="DE384">
            <v>-22060992.18</v>
          </cell>
          <cell r="DF384">
            <v>-22078376.82</v>
          </cell>
          <cell r="DG384">
            <v>-22091959.32</v>
          </cell>
          <cell r="DH384">
            <v>-20767787.539999999</v>
          </cell>
        </row>
        <row r="385">
          <cell r="A385" t="str">
            <v>245</v>
          </cell>
          <cell r="D385">
            <v>-35685</v>
          </cell>
          <cell r="E385">
            <v>-16835</v>
          </cell>
          <cell r="F385">
            <v>-11185</v>
          </cell>
          <cell r="G385">
            <v>-18490</v>
          </cell>
          <cell r="H385">
            <v>-800</v>
          </cell>
          <cell r="I385">
            <v>-87690</v>
          </cell>
          <cell r="J385">
            <v>-187640</v>
          </cell>
          <cell r="K385">
            <v>-3248625</v>
          </cell>
          <cell r="L385">
            <v>-1525800</v>
          </cell>
          <cell r="M385">
            <v>-1617850</v>
          </cell>
          <cell r="N385">
            <v>-3658900</v>
          </cell>
          <cell r="O385">
            <v>-2703120</v>
          </cell>
          <cell r="P385">
            <v>-8985490</v>
          </cell>
          <cell r="Q385">
            <v>-9064945</v>
          </cell>
          <cell r="R385">
            <v>-7427670</v>
          </cell>
          <cell r="S385">
            <v>-7222035</v>
          </cell>
          <cell r="T385">
            <v>-6292505</v>
          </cell>
          <cell r="U385">
            <v>-6307945</v>
          </cell>
          <cell r="V385">
            <v>-5194335</v>
          </cell>
          <cell r="W385">
            <v>-5218445</v>
          </cell>
          <cell r="X385">
            <v>-5549665</v>
          </cell>
          <cell r="Y385">
            <v>-6332365</v>
          </cell>
          <cell r="Z385">
            <v>-8044035</v>
          </cell>
          <cell r="AA385">
            <v>-8065535</v>
          </cell>
          <cell r="AB385">
            <v>-6345955</v>
          </cell>
          <cell r="AC385">
            <v>-4883135</v>
          </cell>
          <cell r="AD385">
            <v>-5431045</v>
          </cell>
          <cell r="AE385">
            <v>-3452550</v>
          </cell>
          <cell r="AF385">
            <v>-1971790</v>
          </cell>
          <cell r="AG385">
            <v>-1688615</v>
          </cell>
          <cell r="AH385">
            <v>-343605</v>
          </cell>
          <cell r="AI385">
            <v>-334975</v>
          </cell>
          <cell r="AJ385">
            <v>-323425</v>
          </cell>
          <cell r="AK385">
            <v>-404265</v>
          </cell>
          <cell r="AL385">
            <v>-408515</v>
          </cell>
          <cell r="AM385">
            <v>-76785</v>
          </cell>
          <cell r="AN385">
            <v>0</v>
          </cell>
          <cell r="AO385">
            <v>-56050</v>
          </cell>
          <cell r="AP385">
            <v>-389500</v>
          </cell>
          <cell r="AQ385">
            <v>-4235</v>
          </cell>
          <cell r="AR385">
            <v>0</v>
          </cell>
          <cell r="AS385">
            <v>-3920</v>
          </cell>
          <cell r="AT385">
            <v>-22280</v>
          </cell>
          <cell r="AU385">
            <v>-140025</v>
          </cell>
          <cell r="AV385">
            <v>-4680</v>
          </cell>
          <cell r="AW385">
            <v>-9230</v>
          </cell>
          <cell r="AX385">
            <v>-138225</v>
          </cell>
          <cell r="AY385">
            <v>-60555</v>
          </cell>
          <cell r="AZ385">
            <v>-181065</v>
          </cell>
          <cell r="BA385">
            <v>-1780</v>
          </cell>
          <cell r="BB385">
            <v>-113125</v>
          </cell>
          <cell r="BC385">
            <v>-32645</v>
          </cell>
          <cell r="BD385">
            <v>-25690</v>
          </cell>
          <cell r="BE385">
            <v>0</v>
          </cell>
          <cell r="BF385">
            <v>-280</v>
          </cell>
          <cell r="BG385">
            <v>-11720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Q385">
            <v>0</v>
          </cell>
          <cell r="CR385">
            <v>0</v>
          </cell>
          <cell r="CS385">
            <v>0</v>
          </cell>
          <cell r="CT385">
            <v>0</v>
          </cell>
          <cell r="CU385">
            <v>0</v>
          </cell>
          <cell r="CV385">
            <v>0</v>
          </cell>
          <cell r="CW385">
            <v>0</v>
          </cell>
          <cell r="CX385">
            <v>0</v>
          </cell>
          <cell r="CY385">
            <v>0</v>
          </cell>
          <cell r="CZ385">
            <v>0</v>
          </cell>
          <cell r="DA385">
            <v>0</v>
          </cell>
          <cell r="DB385">
            <v>0</v>
          </cell>
          <cell r="DC385">
            <v>0</v>
          </cell>
          <cell r="DD385">
            <v>0</v>
          </cell>
          <cell r="DE385">
            <v>0</v>
          </cell>
          <cell r="DF385">
            <v>0</v>
          </cell>
          <cell r="DG385">
            <v>0</v>
          </cell>
          <cell r="DH385">
            <v>0</v>
          </cell>
        </row>
        <row r="386">
          <cell r="A386" t="str">
            <v>252</v>
          </cell>
          <cell r="D386">
            <v>-7564144.2999999998</v>
          </cell>
          <cell r="E386">
            <v>-7714348.2999999998</v>
          </cell>
          <cell r="F386">
            <v>-7764979.2999999998</v>
          </cell>
          <cell r="G386">
            <v>-7827894.2999999998</v>
          </cell>
          <cell r="H386">
            <v>-7873622.2999999998</v>
          </cell>
          <cell r="I386">
            <v>-7945592.2999999998</v>
          </cell>
          <cell r="J386">
            <v>-8035636.5800000001</v>
          </cell>
          <cell r="K386">
            <v>-8825586.5800000001</v>
          </cell>
          <cell r="L386">
            <v>-8912566.5800000001</v>
          </cell>
          <cell r="M386">
            <v>-8955974.0800000001</v>
          </cell>
          <cell r="N386">
            <v>-9024982</v>
          </cell>
          <cell r="O386">
            <v>-9822978</v>
          </cell>
          <cell r="P386">
            <v>-9842365</v>
          </cell>
          <cell r="Q386">
            <v>-9944960.2400000002</v>
          </cell>
          <cell r="R386">
            <v>-10017496.24</v>
          </cell>
          <cell r="S386">
            <v>-10092194.59</v>
          </cell>
          <cell r="T386">
            <v>-10903349.59</v>
          </cell>
          <cell r="U386">
            <v>-11184513.59</v>
          </cell>
          <cell r="V386">
            <v>-11269305.109999999</v>
          </cell>
          <cell r="W386">
            <v>-11293093.109999999</v>
          </cell>
          <cell r="X386">
            <v>-11468225.109999999</v>
          </cell>
          <cell r="Y386">
            <v>-11498118.130000001</v>
          </cell>
          <cell r="Z386">
            <v>-11549763.130000001</v>
          </cell>
          <cell r="AA386">
            <v>-11593557.449999999</v>
          </cell>
          <cell r="AB386">
            <v>-11625385.449999999</v>
          </cell>
          <cell r="AC386">
            <v>-11656524.449999999</v>
          </cell>
          <cell r="AD386">
            <v>-11952660.460000001</v>
          </cell>
          <cell r="AE386">
            <v>-11992238.460000001</v>
          </cell>
          <cell r="AF386">
            <v>-12090722.460000001</v>
          </cell>
          <cell r="AG386">
            <v>-12161249.460000001</v>
          </cell>
          <cell r="AH386">
            <v>-12372744.460000001</v>
          </cell>
          <cell r="AI386">
            <v>-12480523.460000001</v>
          </cell>
          <cell r="AJ386">
            <v>-12590723.460000001</v>
          </cell>
          <cell r="AK386">
            <v>-12662933.039999999</v>
          </cell>
          <cell r="AL386">
            <v>-12745836.039999999</v>
          </cell>
          <cell r="AM386">
            <v>-12438231.640000001</v>
          </cell>
          <cell r="AN386">
            <v>-12639677.640000001</v>
          </cell>
          <cell r="AO386">
            <v>-12165105.75</v>
          </cell>
          <cell r="AP386">
            <v>-12044118.57</v>
          </cell>
          <cell r="AQ386">
            <v>-12174977.210000001</v>
          </cell>
          <cell r="AR386">
            <v>-12309216.210000001</v>
          </cell>
          <cell r="AS386">
            <v>-12446195.210000001</v>
          </cell>
          <cell r="AT386">
            <v>-11296197.34</v>
          </cell>
          <cell r="AU386">
            <v>-9914451.8699999992</v>
          </cell>
          <cell r="AV386">
            <v>-9831064.5199999996</v>
          </cell>
          <cell r="AW386">
            <v>-9936897.5199999996</v>
          </cell>
          <cell r="AX386">
            <v>-10007435.52</v>
          </cell>
          <cell r="AY386">
            <v>-10047282.52</v>
          </cell>
          <cell r="AZ386">
            <v>-9607066.0800000001</v>
          </cell>
          <cell r="BA386">
            <v>-9573848.2899999991</v>
          </cell>
          <cell r="BB386">
            <v>-9728965.2899999991</v>
          </cell>
          <cell r="BC386">
            <v>-9807070.2899999991</v>
          </cell>
          <cell r="BD386">
            <v>-9950721.1799999997</v>
          </cell>
          <cell r="BE386">
            <v>-10073247.18</v>
          </cell>
          <cell r="BF386">
            <v>-10218869.18</v>
          </cell>
          <cell r="BG386">
            <v>-9921752.1600000001</v>
          </cell>
          <cell r="BH386">
            <v>-10073764.16</v>
          </cell>
          <cell r="BI386">
            <v>-10228447.51</v>
          </cell>
          <cell r="BJ386">
            <v>-10362898.27</v>
          </cell>
          <cell r="BK386">
            <v>-10539340.27</v>
          </cell>
          <cell r="BL386">
            <v>-10634955.27</v>
          </cell>
          <cell r="BM386">
            <v>-10826694.27</v>
          </cell>
          <cell r="BN386">
            <v>-11003766.27</v>
          </cell>
          <cell r="BO386">
            <v>-11120203.27</v>
          </cell>
          <cell r="BP386">
            <v>-11325462.27</v>
          </cell>
          <cell r="BQ386">
            <v>-11511792.27</v>
          </cell>
          <cell r="BR386">
            <v>-11785480.27</v>
          </cell>
          <cell r="BS386">
            <v>-11862644.27</v>
          </cell>
          <cell r="BT386">
            <v>-12925400.09</v>
          </cell>
          <cell r="BU386">
            <v>-12405990.039999999</v>
          </cell>
          <cell r="BV386">
            <v>-12710800.039999999</v>
          </cell>
          <cell r="BW386">
            <v>-12794821.32</v>
          </cell>
          <cell r="BX386">
            <v>-12952701.32</v>
          </cell>
          <cell r="BY386">
            <v>-13089078.98</v>
          </cell>
          <cell r="BZ386">
            <v>-13337566.98</v>
          </cell>
          <cell r="CA386">
            <v>-13479083.98</v>
          </cell>
          <cell r="CB386">
            <v>-13776579.98</v>
          </cell>
          <cell r="CC386">
            <v>-13915894.98</v>
          </cell>
          <cell r="CD386">
            <v>-14332008.98</v>
          </cell>
          <cell r="CE386">
            <v>-14545070.98</v>
          </cell>
          <cell r="CF386">
            <v>-14664981.98</v>
          </cell>
          <cell r="CG386">
            <v>-14788227.98</v>
          </cell>
          <cell r="CH386">
            <v>-14958396.98</v>
          </cell>
          <cell r="CI386">
            <v>-15370480.98</v>
          </cell>
          <cell r="CJ386">
            <v>-15681265.48</v>
          </cell>
          <cell r="CK386">
            <v>-15814281.48</v>
          </cell>
          <cell r="CL386">
            <v>-15923750.48</v>
          </cell>
          <cell r="CM386">
            <v>-16390079.48</v>
          </cell>
          <cell r="CN386">
            <v>-16722185.960000001</v>
          </cell>
          <cell r="CO386">
            <v>-16873568.960000001</v>
          </cell>
          <cell r="CP386">
            <v>-17005221.239999998</v>
          </cell>
          <cell r="CQ386">
            <v>-17164304.239999998</v>
          </cell>
          <cell r="CR386">
            <v>-17243754.239999998</v>
          </cell>
          <cell r="CS386">
            <v>-17573631.640000001</v>
          </cell>
          <cell r="CT386">
            <v>-17895821.640000001</v>
          </cell>
          <cell r="CU386">
            <v>-18117211.640000001</v>
          </cell>
          <cell r="CV386">
            <v>-18210107.640000001</v>
          </cell>
          <cell r="CW386">
            <v>-18325299.010000002</v>
          </cell>
          <cell r="CX386">
            <v>-18691975.640000001</v>
          </cell>
          <cell r="CY386">
            <v>-18995225.640000001</v>
          </cell>
          <cell r="CZ386">
            <v>-19514099.91</v>
          </cell>
          <cell r="DA386">
            <v>-19823385.920000002</v>
          </cell>
          <cell r="DB386">
            <v>-20211822.920000002</v>
          </cell>
          <cell r="DC386">
            <v>-20537692.920000002</v>
          </cell>
          <cell r="DD386">
            <v>-21002287.420000002</v>
          </cell>
          <cell r="DE386">
            <v>-21468778.420000002</v>
          </cell>
          <cell r="DF386">
            <v>-21711739.420000002</v>
          </cell>
          <cell r="DG386">
            <v>-21948610.420000002</v>
          </cell>
          <cell r="DH386">
            <v>-22520306.420000002</v>
          </cell>
        </row>
        <row r="387">
          <cell r="A387" t="str">
            <v>253</v>
          </cell>
          <cell r="D387">
            <v>-2537502.5</v>
          </cell>
          <cell r="E387">
            <v>-2491106.98</v>
          </cell>
          <cell r="F387">
            <v>-2562062.44</v>
          </cell>
          <cell r="G387">
            <v>-2634680.0299999998</v>
          </cell>
          <cell r="H387">
            <v>-2558069.4900000002</v>
          </cell>
          <cell r="I387">
            <v>-3430156.09</v>
          </cell>
          <cell r="J387">
            <v>-3271015.85</v>
          </cell>
          <cell r="K387">
            <v>-3421131.8</v>
          </cell>
          <cell r="L387">
            <v>-3318944.34</v>
          </cell>
          <cell r="M387">
            <v>-3197132.36</v>
          </cell>
          <cell r="N387">
            <v>-3249299.26</v>
          </cell>
          <cell r="O387">
            <v>-3179973.49</v>
          </cell>
          <cell r="P387">
            <v>-3429205.57</v>
          </cell>
          <cell r="Q387">
            <v>-3456080.66</v>
          </cell>
          <cell r="R387">
            <v>-3152229.42</v>
          </cell>
          <cell r="S387">
            <v>-3054227.7</v>
          </cell>
          <cell r="T387">
            <v>-1152967.08</v>
          </cell>
          <cell r="U387">
            <v>-1040234.23</v>
          </cell>
          <cell r="V387">
            <v>-934211.96</v>
          </cell>
          <cell r="W387">
            <v>-752875.16</v>
          </cell>
          <cell r="X387">
            <v>-631687.87</v>
          </cell>
          <cell r="Y387">
            <v>-614782.81000000006</v>
          </cell>
          <cell r="Z387">
            <v>-558284.21</v>
          </cell>
          <cell r="AA387">
            <v>-973570.83</v>
          </cell>
          <cell r="AB387">
            <v>-1253942.98</v>
          </cell>
          <cell r="AC387">
            <v>-1508484.79</v>
          </cell>
          <cell r="AD387">
            <v>-1683967.28</v>
          </cell>
          <cell r="AE387">
            <v>-1615718.76</v>
          </cell>
          <cell r="AF387">
            <v>-1565937.09</v>
          </cell>
          <cell r="AG387">
            <v>-1299949.8600000001</v>
          </cell>
          <cell r="AH387">
            <v>-931153.86</v>
          </cell>
          <cell r="AI387">
            <v>-1174124.02</v>
          </cell>
          <cell r="AJ387">
            <v>-1244431.67</v>
          </cell>
          <cell r="AK387">
            <v>-1390050.97</v>
          </cell>
          <cell r="AL387">
            <v>-1496451.88</v>
          </cell>
          <cell r="AM387">
            <v>-1718018.31</v>
          </cell>
          <cell r="AN387">
            <v>-2012057.28</v>
          </cell>
          <cell r="AO387">
            <v>-1719233.28</v>
          </cell>
          <cell r="AP387">
            <v>-1840575.7</v>
          </cell>
          <cell r="AQ387">
            <v>-1748104.75</v>
          </cell>
          <cell r="AR387">
            <v>-1831797.67</v>
          </cell>
          <cell r="AS387">
            <v>-1854845.17</v>
          </cell>
          <cell r="AT387">
            <v>-2011499.35</v>
          </cell>
          <cell r="AU387">
            <v>-2040676.37</v>
          </cell>
          <cell r="AV387">
            <v>-1811770.93</v>
          </cell>
          <cell r="AW387">
            <v>-2017494.36</v>
          </cell>
          <cell r="AX387">
            <v>-2234049.96</v>
          </cell>
          <cell r="AY387">
            <v>-2287224.4300000002</v>
          </cell>
          <cell r="AZ387">
            <v>-2441203.64</v>
          </cell>
          <cell r="BA387">
            <v>-2309620.98</v>
          </cell>
          <cell r="BB387">
            <v>-2478544.2000000002</v>
          </cell>
          <cell r="BC387">
            <v>-2780553.2</v>
          </cell>
          <cell r="BD387">
            <v>-2828818.83</v>
          </cell>
          <cell r="BE387">
            <v>-2992329.5</v>
          </cell>
          <cell r="BF387">
            <v>-3322987.42</v>
          </cell>
          <cell r="BG387">
            <v>-3451748.67</v>
          </cell>
          <cell r="BH387">
            <v>-3674383.04</v>
          </cell>
          <cell r="BI387">
            <v>-3871163.79</v>
          </cell>
          <cell r="BJ387">
            <v>-4111080.9</v>
          </cell>
          <cell r="BK387">
            <v>-4438839.01</v>
          </cell>
          <cell r="BL387">
            <v>-3830518.3</v>
          </cell>
          <cell r="BM387">
            <v>-3780744.4</v>
          </cell>
          <cell r="BN387">
            <v>-3635598.37</v>
          </cell>
          <cell r="BO387">
            <v>-3397930.21</v>
          </cell>
          <cell r="BP387">
            <v>-3470131.87</v>
          </cell>
          <cell r="BQ387">
            <v>-3020551.34</v>
          </cell>
          <cell r="BR387">
            <v>-3744280.75</v>
          </cell>
          <cell r="BS387">
            <v>-4517563.5</v>
          </cell>
          <cell r="BT387">
            <v>-4890041.49</v>
          </cell>
          <cell r="BU387">
            <v>-5036683.0599999996</v>
          </cell>
          <cell r="BV387">
            <v>-5247323.78</v>
          </cell>
          <cell r="BW387">
            <v>-5183880.88</v>
          </cell>
          <cell r="BX387">
            <v>-5996477.7599999998</v>
          </cell>
          <cell r="BY387">
            <v>-6331458.9199999999</v>
          </cell>
          <cell r="BZ387">
            <v>-6020839.4800000004</v>
          </cell>
          <cell r="CA387">
            <v>-5804761.9400000004</v>
          </cell>
          <cell r="CB387">
            <v>-6855332.7000000002</v>
          </cell>
          <cell r="CC387">
            <v>-7704233.2000000002</v>
          </cell>
          <cell r="CD387">
            <v>-8545555.4499999993</v>
          </cell>
          <cell r="CE387">
            <v>-8557157.5399999991</v>
          </cell>
          <cell r="CF387">
            <v>-8313096.7400000002</v>
          </cell>
          <cell r="CG387">
            <v>-8440347.4800000004</v>
          </cell>
          <cell r="CH387">
            <v>-8303203.4800000004</v>
          </cell>
          <cell r="CI387">
            <v>-8235419.8499999996</v>
          </cell>
          <cell r="CJ387">
            <v>-8261983.4900000002</v>
          </cell>
          <cell r="CK387">
            <v>-8471095.6500000004</v>
          </cell>
          <cell r="CL387">
            <v>-6732824.5199999996</v>
          </cell>
          <cell r="CM387">
            <v>-2788573.34</v>
          </cell>
          <cell r="CN387">
            <v>-2742246.87</v>
          </cell>
          <cell r="CO387">
            <v>-2608180.4500000002</v>
          </cell>
          <cell r="CP387">
            <v>-2233020.58</v>
          </cell>
          <cell r="CQ387">
            <v>-2429196.5699999998</v>
          </cell>
          <cell r="CR387">
            <v>-2408390.38</v>
          </cell>
          <cell r="CS387">
            <v>-3732072.38</v>
          </cell>
          <cell r="CT387">
            <v>-3789244.1</v>
          </cell>
          <cell r="CU387">
            <v>-3590964.64</v>
          </cell>
          <cell r="CV387">
            <v>-4140079.67</v>
          </cell>
          <cell r="CW387">
            <v>-6125143.2400000002</v>
          </cell>
          <cell r="CX387">
            <v>-6126205.0999999996</v>
          </cell>
          <cell r="CY387">
            <v>-5438089.4900000002</v>
          </cell>
          <cell r="CZ387">
            <v>-3417991.74</v>
          </cell>
          <cell r="DA387">
            <v>-3219531.42</v>
          </cell>
          <cell r="DB387">
            <v>-3472596.82</v>
          </cell>
          <cell r="DC387">
            <v>-3397795.36</v>
          </cell>
          <cell r="DD387">
            <v>-3326315.48</v>
          </cell>
          <cell r="DE387">
            <v>-3588526.19</v>
          </cell>
          <cell r="DF387">
            <v>-3669901.85</v>
          </cell>
          <cell r="DG387">
            <v>-3135686.46</v>
          </cell>
          <cell r="DH387">
            <v>-3322921.45</v>
          </cell>
        </row>
        <row r="388">
          <cell r="A388" t="str">
            <v>254</v>
          </cell>
          <cell r="D388">
            <v>-1845837.04</v>
          </cell>
          <cell r="E388">
            <v>-4451608.71</v>
          </cell>
          <cell r="F388">
            <v>-3544296.38</v>
          </cell>
          <cell r="G388">
            <v>-2770763.05</v>
          </cell>
          <cell r="H388">
            <v>-4789504.72</v>
          </cell>
          <cell r="I388">
            <v>-3059763.39</v>
          </cell>
          <cell r="J388">
            <v>-2684712.06</v>
          </cell>
          <cell r="K388">
            <v>-1497334.73</v>
          </cell>
          <cell r="L388">
            <v>-1195389.9099999999</v>
          </cell>
          <cell r="M388">
            <v>-1035607.58</v>
          </cell>
          <cell r="N388">
            <v>-998429.25</v>
          </cell>
          <cell r="O388">
            <v>-954658.92</v>
          </cell>
          <cell r="P388">
            <v>-1275395.5900000001</v>
          </cell>
          <cell r="Q388">
            <v>-1671458.59</v>
          </cell>
          <cell r="R388">
            <v>-2636637.04</v>
          </cell>
          <cell r="S388">
            <v>-3171288.8</v>
          </cell>
          <cell r="T388">
            <v>-3564711.68</v>
          </cell>
          <cell r="U388">
            <v>-3407648.89</v>
          </cell>
          <cell r="V388">
            <v>-3406768.59</v>
          </cell>
          <cell r="W388">
            <v>-3261951.95</v>
          </cell>
          <cell r="X388">
            <v>-2939117.43</v>
          </cell>
          <cell r="Y388">
            <v>-2682114.46</v>
          </cell>
          <cell r="Z388">
            <v>-2173057.5499999998</v>
          </cell>
          <cell r="AA388">
            <v>-2272874.84</v>
          </cell>
          <cell r="AB388">
            <v>-2618953.84</v>
          </cell>
          <cell r="AC388">
            <v>-2782973.96</v>
          </cell>
          <cell r="AD388">
            <v>-3366057.96</v>
          </cell>
          <cell r="AE388">
            <v>-3441104.96</v>
          </cell>
          <cell r="AF388">
            <v>-3487326.96</v>
          </cell>
          <cell r="AG388">
            <v>-3160860.96</v>
          </cell>
          <cell r="AH388">
            <v>-13556530.15</v>
          </cell>
          <cell r="AI388">
            <v>-13008730.949999999</v>
          </cell>
          <cell r="AJ388">
            <v>-11699033.890000001</v>
          </cell>
          <cell r="AK388">
            <v>-11094277.76</v>
          </cell>
          <cell r="AL388">
            <v>-10169800.630000001</v>
          </cell>
          <cell r="AM388">
            <v>-10220756.5</v>
          </cell>
          <cell r="AN388">
            <v>-11190657.41</v>
          </cell>
          <cell r="AO388">
            <v>-10313656.949999999</v>
          </cell>
          <cell r="AP388">
            <v>-10154788.470000001</v>
          </cell>
          <cell r="AQ388">
            <v>-10629831.279999999</v>
          </cell>
          <cell r="AR388">
            <v>-10540135.970000001</v>
          </cell>
          <cell r="AS388">
            <v>-9369693.2599999998</v>
          </cell>
          <cell r="AT388">
            <v>-8244316.8899999997</v>
          </cell>
          <cell r="AU388">
            <v>-7064040.4199999999</v>
          </cell>
          <cell r="AV388">
            <v>-6508073.1900000004</v>
          </cell>
          <cell r="AW388">
            <v>-6060167.7199999997</v>
          </cell>
          <cell r="AX388">
            <v>-5836007.25</v>
          </cell>
          <cell r="AY388">
            <v>-5682433.6699999999</v>
          </cell>
          <cell r="AZ388">
            <v>-94566712.319999993</v>
          </cell>
          <cell r="BA388">
            <v>-94277929.510000005</v>
          </cell>
          <cell r="BB388">
            <v>-95221129.840000004</v>
          </cell>
          <cell r="BC388">
            <v>-96479684.719999999</v>
          </cell>
          <cell r="BD388">
            <v>-97605035.849999994</v>
          </cell>
          <cell r="BE388">
            <v>-98449690.310000002</v>
          </cell>
          <cell r="BF388">
            <v>-98729488.599999994</v>
          </cell>
          <cell r="BG388">
            <v>-99145857.75</v>
          </cell>
          <cell r="BH388">
            <v>-99542075.420000002</v>
          </cell>
          <cell r="BI388">
            <v>-93206191.469999999</v>
          </cell>
          <cell r="BJ388">
            <v>-92789472.849999994</v>
          </cell>
          <cell r="BK388">
            <v>-94318651.109999999</v>
          </cell>
          <cell r="BL388">
            <v>-94011638.200000003</v>
          </cell>
          <cell r="BM388">
            <v>-94142017.310000002</v>
          </cell>
          <cell r="BN388">
            <v>-94188024.530000001</v>
          </cell>
          <cell r="BO388">
            <v>-93897697.060000002</v>
          </cell>
          <cell r="BP388">
            <v>-93685511.939999998</v>
          </cell>
          <cell r="BQ388">
            <v>-93354010.079999998</v>
          </cell>
          <cell r="BR388">
            <v>-93161571.730000004</v>
          </cell>
          <cell r="BS388">
            <v>-93041303.659999996</v>
          </cell>
          <cell r="BT388">
            <v>-92990739.790000007</v>
          </cell>
          <cell r="BU388">
            <v>-91655976.379999995</v>
          </cell>
          <cell r="BV388">
            <v>-91566662.780000001</v>
          </cell>
          <cell r="BW388">
            <v>-91477349.370000005</v>
          </cell>
          <cell r="BX388">
            <v>-91671584.010000005</v>
          </cell>
          <cell r="BY388">
            <v>-91562047.939999998</v>
          </cell>
          <cell r="BZ388">
            <v>-91444205.599999994</v>
          </cell>
          <cell r="CA388">
            <v>-90961398.75</v>
          </cell>
          <cell r="CB388">
            <v>-90847115.120000005</v>
          </cell>
          <cell r="CC388">
            <v>-90706921.439999998</v>
          </cell>
          <cell r="CD388">
            <v>-90705746.079999998</v>
          </cell>
          <cell r="CE388">
            <v>-90748527.060000002</v>
          </cell>
          <cell r="CF388">
            <v>-90704629.430000007</v>
          </cell>
          <cell r="CG388">
            <v>-90810172.180000007</v>
          </cell>
          <cell r="CH388">
            <v>-93314999.75</v>
          </cell>
          <cell r="CI388">
            <v>-93359946.400000006</v>
          </cell>
          <cell r="CJ388">
            <v>-93574070.239999995</v>
          </cell>
          <cell r="CK388">
            <v>-93406172.519999996</v>
          </cell>
          <cell r="CL388">
            <v>-93380929.280000001</v>
          </cell>
          <cell r="CM388">
            <v>-93025661.650000006</v>
          </cell>
          <cell r="CN388">
            <v>-93121197.5</v>
          </cell>
          <cell r="CO388">
            <v>-93144970.900000006</v>
          </cell>
          <cell r="CP388">
            <v>-92987853.989999995</v>
          </cell>
          <cell r="CQ388">
            <v>-93010829.170000002</v>
          </cell>
          <cell r="CR388">
            <v>-93034141.939999998</v>
          </cell>
          <cell r="CS388">
            <v>-93513242.489999995</v>
          </cell>
          <cell r="CT388">
            <v>-93450676.090000004</v>
          </cell>
          <cell r="CU388">
            <v>-93967866.010000005</v>
          </cell>
          <cell r="CV388">
            <v>-89297674.010000005</v>
          </cell>
          <cell r="CW388">
            <v>-89869391.069999993</v>
          </cell>
          <cell r="CX388">
            <v>-91567456.25</v>
          </cell>
          <cell r="CY388">
            <v>-91361413.700000003</v>
          </cell>
          <cell r="CZ388">
            <v>-92434918.859999999</v>
          </cell>
          <cell r="DA388">
            <v>-93199161.120000005</v>
          </cell>
          <cell r="DB388">
            <v>-93398041.260000005</v>
          </cell>
          <cell r="DC388">
            <v>-93534203.640000001</v>
          </cell>
          <cell r="DD388">
            <v>-93276810.120000005</v>
          </cell>
          <cell r="DE388">
            <v>-92756909.299999997</v>
          </cell>
          <cell r="DF388">
            <v>-92611655.379999995</v>
          </cell>
          <cell r="DG388">
            <v>-92145419.159999996</v>
          </cell>
          <cell r="DH388">
            <v>-92149754.069999993</v>
          </cell>
        </row>
        <row r="389">
          <cell r="A389" t="str">
            <v>282</v>
          </cell>
          <cell r="D389">
            <v>-136018535.94999999</v>
          </cell>
          <cell r="E389">
            <v>-136651764.65000001</v>
          </cell>
          <cell r="F389">
            <v>-137041714.59999999</v>
          </cell>
          <cell r="G389">
            <v>-137415040.90000001</v>
          </cell>
          <cell r="H389">
            <v>-137784271.86000001</v>
          </cell>
          <cell r="I389">
            <v>-138160520.74000001</v>
          </cell>
          <cell r="J389">
            <v>-138455911.75</v>
          </cell>
          <cell r="K389">
            <v>-138799401.25999999</v>
          </cell>
          <cell r="L389">
            <v>-139181538.44999999</v>
          </cell>
          <cell r="M389">
            <v>-140886459.38999999</v>
          </cell>
          <cell r="N389">
            <v>-140856262.44</v>
          </cell>
          <cell r="O389">
            <v>-140300580.05000001</v>
          </cell>
          <cell r="P389">
            <v>-148714333.83000001</v>
          </cell>
          <cell r="Q389">
            <v>-149215290.75</v>
          </cell>
          <cell r="R389">
            <v>-149749811.52000001</v>
          </cell>
          <cell r="S389">
            <v>-150306975.47</v>
          </cell>
          <cell r="T389">
            <v>-150842782.56</v>
          </cell>
          <cell r="U389">
            <v>-151256946.91</v>
          </cell>
          <cell r="V389">
            <v>-151802163.63999999</v>
          </cell>
          <cell r="W389">
            <v>-151762132.27000001</v>
          </cell>
          <cell r="X389">
            <v>-152218180.72999999</v>
          </cell>
          <cell r="Y389">
            <v>-153941695.61000001</v>
          </cell>
          <cell r="Z389">
            <v>-154711002.78999999</v>
          </cell>
          <cell r="AA389">
            <v>-155339710.97</v>
          </cell>
          <cell r="AB389">
            <v>-165137719.28</v>
          </cell>
          <cell r="AC389">
            <v>-166786033.00999999</v>
          </cell>
          <cell r="AD389">
            <v>-168170876.63</v>
          </cell>
          <cell r="AE389">
            <v>-169565408.13</v>
          </cell>
          <cell r="AF389">
            <v>-171000958.52000001</v>
          </cell>
          <cell r="AG389">
            <v>-172465899.62</v>
          </cell>
          <cell r="AH389">
            <v>-173139223.94999999</v>
          </cell>
          <cell r="AI389">
            <v>-174468475.77000001</v>
          </cell>
          <cell r="AJ389">
            <v>-176306098.38999999</v>
          </cell>
          <cell r="AK389">
            <v>-176536329.72</v>
          </cell>
          <cell r="AL389">
            <v>-178235301.66999999</v>
          </cell>
          <cell r="AM389">
            <v>-180086682.59999999</v>
          </cell>
          <cell r="AN389">
            <v>-190658408.56999999</v>
          </cell>
          <cell r="AO389">
            <v>-192576154.97</v>
          </cell>
          <cell r="AP389">
            <v>-194443739.53</v>
          </cell>
          <cell r="AQ389">
            <v>-197498276.02000001</v>
          </cell>
          <cell r="AR389">
            <v>-199555695.28999999</v>
          </cell>
          <cell r="AS389">
            <v>-202634750.22</v>
          </cell>
          <cell r="AT389">
            <v>-205496671.06999999</v>
          </cell>
          <cell r="AU389">
            <v>-208194268.13</v>
          </cell>
          <cell r="AV389">
            <v>-210598967.33000001</v>
          </cell>
          <cell r="AW389">
            <v>-212917880.27000001</v>
          </cell>
          <cell r="AX389">
            <v>-215328123.28999999</v>
          </cell>
          <cell r="AY389">
            <v>-217933475.22</v>
          </cell>
          <cell r="AZ389">
            <v>-146511109.03</v>
          </cell>
          <cell r="BA389">
            <v>-147566871.25</v>
          </cell>
          <cell r="BB389">
            <v>-148672379.83000001</v>
          </cell>
          <cell r="BC389">
            <v>-149811271.61000001</v>
          </cell>
          <cell r="BD389">
            <v>-150770803.94</v>
          </cell>
          <cell r="BE389">
            <v>-151832510.27000001</v>
          </cell>
          <cell r="BF389">
            <v>-152794317.62</v>
          </cell>
          <cell r="BG389">
            <v>-153821848.46000001</v>
          </cell>
          <cell r="BH389">
            <v>-155557043.41</v>
          </cell>
          <cell r="BI389">
            <v>-156658442.15000001</v>
          </cell>
          <cell r="BJ389">
            <v>-157832325</v>
          </cell>
          <cell r="BK389">
            <v>-161624228.12</v>
          </cell>
          <cell r="BL389">
            <v>-160744713.66</v>
          </cell>
          <cell r="BM389">
            <v>-161676608.05000001</v>
          </cell>
          <cell r="BN389">
            <v>-163139348.56999999</v>
          </cell>
          <cell r="BO389">
            <v>-164273485.13999999</v>
          </cell>
          <cell r="BP389">
            <v>-165447604.44</v>
          </cell>
          <cell r="BQ389">
            <v>-166621617.36000001</v>
          </cell>
          <cell r="BR389">
            <v>-167841892.08000001</v>
          </cell>
          <cell r="BS389">
            <v>-169034357.5</v>
          </cell>
          <cell r="BT389">
            <v>-170237160.58000001</v>
          </cell>
          <cell r="BU389">
            <v>-171661157.38</v>
          </cell>
          <cell r="BV389">
            <v>-172596537.40000001</v>
          </cell>
          <cell r="BW389">
            <v>-173711137.56999999</v>
          </cell>
          <cell r="BX389">
            <v>-175176329.94999999</v>
          </cell>
          <cell r="BY389">
            <v>-175026625.91999999</v>
          </cell>
          <cell r="BZ389">
            <v>-177895863.88</v>
          </cell>
          <cell r="CA389">
            <v>-179555240.22</v>
          </cell>
          <cell r="CB389">
            <v>-180663500.91</v>
          </cell>
          <cell r="CC389">
            <v>-182118629.41</v>
          </cell>
          <cell r="CD389">
            <v>-183386529.47999999</v>
          </cell>
          <cell r="CE389">
            <v>-184824900.94</v>
          </cell>
          <cell r="CF389">
            <v>-185485378.16999999</v>
          </cell>
          <cell r="CG389">
            <v>-186978766.22999999</v>
          </cell>
          <cell r="CH389">
            <v>-187783726.11000001</v>
          </cell>
          <cell r="CI389">
            <v>-188924713.21000001</v>
          </cell>
          <cell r="CJ389">
            <v>-191023809.21000001</v>
          </cell>
          <cell r="CK389">
            <v>-192366785.94999999</v>
          </cell>
          <cell r="CL389">
            <v>-193960826.84</v>
          </cell>
          <cell r="CM389">
            <v>-195329965.63999999</v>
          </cell>
          <cell r="CN389">
            <v>-197096354.34</v>
          </cell>
          <cell r="CO389">
            <v>-198933272.94999999</v>
          </cell>
          <cell r="CP389">
            <v>-199103075.5</v>
          </cell>
          <cell r="CQ389">
            <v>-200702420.62</v>
          </cell>
          <cell r="CR389">
            <v>-201747420.58000001</v>
          </cell>
          <cell r="CS389">
            <v>-202405991.94</v>
          </cell>
          <cell r="CT389">
            <v>-203652797.56</v>
          </cell>
          <cell r="CU389">
            <v>-205976668.06999999</v>
          </cell>
          <cell r="CV389">
            <v>-208181973.11000001</v>
          </cell>
          <cell r="CW389">
            <v>-210179370.68000001</v>
          </cell>
          <cell r="CX389">
            <v>-212312408.31999999</v>
          </cell>
          <cell r="CY389">
            <v>-213887263.34</v>
          </cell>
          <cell r="CZ389">
            <v>-216003546.53</v>
          </cell>
          <cell r="DA389">
            <v>-217918893.75</v>
          </cell>
          <cell r="DB389">
            <v>-219829649.31</v>
          </cell>
          <cell r="DC389">
            <v>-221419814.06</v>
          </cell>
          <cell r="DD389">
            <v>-226056955.69</v>
          </cell>
          <cell r="DE389">
            <v>-228059690.88999999</v>
          </cell>
          <cell r="DF389">
            <v>-230305142.83000001</v>
          </cell>
          <cell r="DG389">
            <v>-232639027.56</v>
          </cell>
          <cell r="DH389">
            <v>-234529981.81</v>
          </cell>
        </row>
        <row r="390">
          <cell r="A390" t="str">
            <v>283</v>
          </cell>
          <cell r="D390">
            <v>-16016140.539999999</v>
          </cell>
          <cell r="E390">
            <v>-16678093.09</v>
          </cell>
          <cell r="F390">
            <v>-15362466.43</v>
          </cell>
          <cell r="G390">
            <v>-14851145.77</v>
          </cell>
          <cell r="H390">
            <v>-15487593.699999999</v>
          </cell>
          <cell r="I390">
            <v>-14183467.23</v>
          </cell>
          <cell r="J390">
            <v>-13862158.119999999</v>
          </cell>
          <cell r="K390">
            <v>-14723958.82</v>
          </cell>
          <cell r="L390">
            <v>-14003438.59</v>
          </cell>
          <cell r="M390">
            <v>-15228589.84</v>
          </cell>
          <cell r="N390">
            <v>-16088577.07</v>
          </cell>
          <cell r="O390">
            <v>-16955050.77</v>
          </cell>
          <cell r="P390">
            <v>-20743344.780000001</v>
          </cell>
          <cell r="Q390">
            <v>-20467737.579999998</v>
          </cell>
          <cell r="R390">
            <v>-20023718.620000001</v>
          </cell>
          <cell r="S390">
            <v>-19839312.390000001</v>
          </cell>
          <cell r="T390">
            <v>-19578082.43</v>
          </cell>
          <cell r="U390">
            <v>-19452551.329999998</v>
          </cell>
          <cell r="V390">
            <v>-18154311.649999999</v>
          </cell>
          <cell r="W390">
            <v>-18206607.43</v>
          </cell>
          <cell r="X390">
            <v>-18437175.579999998</v>
          </cell>
          <cell r="Y390">
            <v>-18266856.670000002</v>
          </cell>
          <cell r="Z390">
            <v>-19824191.609999999</v>
          </cell>
          <cell r="AA390">
            <v>-20664373.77</v>
          </cell>
          <cell r="AB390">
            <v>-24152825.280000001</v>
          </cell>
          <cell r="AC390">
            <v>-23167534.329999998</v>
          </cell>
          <cell r="AD390">
            <v>-21857698.309999999</v>
          </cell>
          <cell r="AE390">
            <v>-20924644.140000001</v>
          </cell>
          <cell r="AF390">
            <v>-20331094.66</v>
          </cell>
          <cell r="AG390">
            <v>-20241572.559999999</v>
          </cell>
          <cell r="AH390">
            <v>-19351148.609999999</v>
          </cell>
          <cell r="AI390">
            <v>-19315518.739999998</v>
          </cell>
          <cell r="AJ390">
            <v>-19236912.239999998</v>
          </cell>
          <cell r="AK390">
            <v>-22300343.59</v>
          </cell>
          <cell r="AL390">
            <v>-22360616.579999998</v>
          </cell>
          <cell r="AM390">
            <v>-22355891.449999999</v>
          </cell>
          <cell r="AN390">
            <v>-21161926.59</v>
          </cell>
          <cell r="AO390">
            <v>-20620416.379999999</v>
          </cell>
          <cell r="AP390">
            <v>-20507456.300000001</v>
          </cell>
          <cell r="AQ390">
            <v>-20413640.969999999</v>
          </cell>
          <cell r="AR390">
            <v>-20432843.289999999</v>
          </cell>
          <cell r="AS390">
            <v>-20297996.550000001</v>
          </cell>
          <cell r="AT390">
            <v>-20541592.899999999</v>
          </cell>
          <cell r="AU390">
            <v>-20554803.670000002</v>
          </cell>
          <cell r="AV390">
            <v>-20565576.579999998</v>
          </cell>
          <cell r="AW390">
            <v>-20341899.539999999</v>
          </cell>
          <cell r="AX390">
            <v>-21322856.960000001</v>
          </cell>
          <cell r="AY390">
            <v>-21760127.010000002</v>
          </cell>
          <cell r="AZ390">
            <v>348251.87</v>
          </cell>
          <cell r="BA390">
            <v>1017190.28</v>
          </cell>
          <cell r="BB390">
            <v>1401501.7</v>
          </cell>
          <cell r="BC390">
            <v>1862357.43</v>
          </cell>
          <cell r="BD390">
            <v>2154225.65</v>
          </cell>
          <cell r="BE390">
            <v>2366851.79</v>
          </cell>
          <cell r="BF390">
            <v>2708484.43</v>
          </cell>
          <cell r="BG390">
            <v>2909110.61</v>
          </cell>
          <cell r="BH390">
            <v>2963676.18</v>
          </cell>
          <cell r="BI390">
            <v>1556885.53</v>
          </cell>
          <cell r="BJ390">
            <v>1457849.79</v>
          </cell>
          <cell r="BK390">
            <v>2129335.42</v>
          </cell>
          <cell r="BL390">
            <v>-35587.949999999997</v>
          </cell>
          <cell r="BM390">
            <v>436968.28</v>
          </cell>
          <cell r="BN390">
            <v>733890.34</v>
          </cell>
          <cell r="BO390">
            <v>740433.61</v>
          </cell>
          <cell r="BP390">
            <v>755782.57</v>
          </cell>
          <cell r="BQ390">
            <v>758433.23</v>
          </cell>
          <cell r="BR390">
            <v>859416.56</v>
          </cell>
          <cell r="BS390">
            <v>858585.79</v>
          </cell>
          <cell r="BT390">
            <v>831583.04</v>
          </cell>
          <cell r="BU390">
            <v>581831.12</v>
          </cell>
          <cell r="BV390">
            <v>509381.51</v>
          </cell>
          <cell r="BW390">
            <v>501579.95</v>
          </cell>
          <cell r="BX390">
            <v>387992.55</v>
          </cell>
          <cell r="BY390">
            <v>342649.3</v>
          </cell>
          <cell r="BZ390">
            <v>324836.90000000002</v>
          </cell>
          <cell r="CA390">
            <v>606250.02</v>
          </cell>
          <cell r="CB390">
            <v>575891.44999999995</v>
          </cell>
          <cell r="CC390">
            <v>536458.66</v>
          </cell>
          <cell r="CD390">
            <v>621431.22</v>
          </cell>
          <cell r="CE390">
            <v>594787.87</v>
          </cell>
          <cell r="CF390">
            <v>150291.56</v>
          </cell>
          <cell r="CG390">
            <v>163695.34</v>
          </cell>
          <cell r="CH390">
            <v>1020338.65</v>
          </cell>
          <cell r="CI390">
            <v>999348.48</v>
          </cell>
          <cell r="CJ390">
            <v>-899868.87</v>
          </cell>
          <cell r="CK390">
            <v>-969779.28</v>
          </cell>
          <cell r="CL390">
            <v>-1054797.0900000001</v>
          </cell>
          <cell r="CM390">
            <v>-942066.45</v>
          </cell>
          <cell r="CN390">
            <v>-976197.79</v>
          </cell>
          <cell r="CO390">
            <v>-1036258.57</v>
          </cell>
          <cell r="CP390">
            <v>-974247.47</v>
          </cell>
          <cell r="CQ390">
            <v>-1169066.31</v>
          </cell>
          <cell r="CR390">
            <v>-1205227</v>
          </cell>
          <cell r="CS390">
            <v>-706411.27</v>
          </cell>
          <cell r="CT390">
            <v>-1994020.58</v>
          </cell>
          <cell r="CU390">
            <v>-3742579.62</v>
          </cell>
          <cell r="CV390">
            <v>-3015893.05</v>
          </cell>
          <cell r="CW390">
            <v>-1824006.66</v>
          </cell>
          <cell r="CX390">
            <v>-391244.59</v>
          </cell>
          <cell r="CY390">
            <v>-306777.5</v>
          </cell>
          <cell r="CZ390">
            <v>422524.46</v>
          </cell>
          <cell r="DA390">
            <v>518178.04</v>
          </cell>
          <cell r="DB390">
            <v>470173.23</v>
          </cell>
          <cell r="DC390">
            <v>504677.35</v>
          </cell>
          <cell r="DD390">
            <v>562473.68000000005</v>
          </cell>
          <cell r="DE390">
            <v>536924.28</v>
          </cell>
          <cell r="DF390">
            <v>470935.01</v>
          </cell>
          <cell r="DG390">
            <v>506475.89</v>
          </cell>
          <cell r="DH390">
            <v>-2338110.65</v>
          </cell>
        </row>
        <row r="392">
          <cell r="P392">
            <v>-325074012.11000001</v>
          </cell>
          <cell r="AB392">
            <v>-348546295.35000002</v>
          </cell>
          <cell r="AC392">
            <v>-353843675.64000005</v>
          </cell>
          <cell r="AD392">
            <v>-353463281.07000005</v>
          </cell>
          <cell r="AE392">
            <v>-355836446.54000002</v>
          </cell>
          <cell r="AF392">
            <v>-358782461</v>
          </cell>
          <cell r="AG392">
            <v>-347857021.10000002</v>
          </cell>
          <cell r="AH392">
            <v>-341087092.20000005</v>
          </cell>
          <cell r="AI392">
            <v>-343703189.85000002</v>
          </cell>
          <cell r="AJ392">
            <v>-345723065.63</v>
          </cell>
          <cell r="AK392">
            <v>-347682041.71000004</v>
          </cell>
          <cell r="AL392">
            <v>-350626022.57000005</v>
          </cell>
          <cell r="AM392">
            <v>-347772076.19000006</v>
          </cell>
          <cell r="AN392">
            <v>-349825325.24000001</v>
          </cell>
          <cell r="AO392">
            <v>-355190154.12</v>
          </cell>
          <cell r="AP392">
            <v>-358054052.63</v>
          </cell>
          <cell r="AQ392">
            <v>-362590844.06000006</v>
          </cell>
          <cell r="AR392">
            <v>-366421812.09000003</v>
          </cell>
          <cell r="AS392">
            <v>-374850895.80000001</v>
          </cell>
          <cell r="AT392">
            <v>-376932514.87</v>
          </cell>
          <cell r="AU392">
            <v>-379691398.63</v>
          </cell>
          <cell r="AV392">
            <v>-380102174.06999999</v>
          </cell>
          <cell r="AW392">
            <v>-382810092.5</v>
          </cell>
          <cell r="AX392">
            <v>-385440242.40999997</v>
          </cell>
          <cell r="AY392">
            <v>-388546162.23000002</v>
          </cell>
          <cell r="AZ392">
            <v>-394130281.30000001</v>
          </cell>
          <cell r="BA392">
            <v>-403432387.59000003</v>
          </cell>
          <cell r="BB392">
            <v>-403570338.27999997</v>
          </cell>
          <cell r="BC392">
            <v>-405220907</v>
          </cell>
          <cell r="BD392">
            <v>-410525808.63999999</v>
          </cell>
          <cell r="BE392">
            <v>-412757829.34000003</v>
          </cell>
          <cell r="BF392">
            <v>-415854204.33999997</v>
          </cell>
          <cell r="BG392">
            <v>-418959474.53999996</v>
          </cell>
          <cell r="BH392">
            <v>-420402137.18000001</v>
          </cell>
          <cell r="BI392">
            <v>-424100087.69</v>
          </cell>
          <cell r="BJ392">
            <v>-426903360.92000002</v>
          </cell>
          <cell r="BK392">
            <v>-431089900.25</v>
          </cell>
          <cell r="BL392">
            <v>-436583256.00999999</v>
          </cell>
          <cell r="BM392">
            <v>-443201201.89999998</v>
          </cell>
          <cell r="BN392">
            <v>-472249371.39999998</v>
          </cell>
          <cell r="BO392">
            <v>-477745421.70999998</v>
          </cell>
          <cell r="BP392">
            <v>-482972351.89999998</v>
          </cell>
          <cell r="BQ392">
            <v>-504574854.97000003</v>
          </cell>
          <cell r="BR392">
            <v>-508340028.33999997</v>
          </cell>
          <cell r="BS392">
            <v>-511398843.72000003</v>
          </cell>
          <cell r="BT392">
            <v>-501665462.88</v>
          </cell>
          <cell r="BU392">
            <v>-530349322.50999999</v>
          </cell>
          <cell r="BV392">
            <v>-533774931.60000002</v>
          </cell>
          <cell r="BW392">
            <v>-527592012.31</v>
          </cell>
          <cell r="BX392">
            <v>-531653416</v>
          </cell>
          <cell r="BY392">
            <v>-539329033.62</v>
          </cell>
          <cell r="BZ392">
            <v>-573380849.53999996</v>
          </cell>
          <cell r="CA392">
            <v>-578225632.72000003</v>
          </cell>
          <cell r="CB392">
            <v>-581936361</v>
          </cell>
          <cell r="CC392">
            <v>-597083839.84000003</v>
          </cell>
          <cell r="CD392">
            <v>-600293632.98000002</v>
          </cell>
          <cell r="CE392">
            <v>-603389766.39999998</v>
          </cell>
          <cell r="CF392">
            <v>-641618721.25</v>
          </cell>
          <cell r="CG392">
            <v>-645034078.89999998</v>
          </cell>
          <cell r="CH392">
            <v>-647980956.20000005</v>
          </cell>
          <cell r="CI392">
            <v>-657801539.28000009</v>
          </cell>
          <cell r="CJ392">
            <v>-662421104.25999999</v>
          </cell>
          <cell r="CK392">
            <v>-673816591.59000003</v>
          </cell>
          <cell r="CL392">
            <v>-709169890.69000006</v>
          </cell>
          <cell r="CM392">
            <v>-716860691.16000009</v>
          </cell>
          <cell r="CN392">
            <v>-697458498.2700001</v>
          </cell>
          <cell r="CO392">
            <v>-722981920.41000009</v>
          </cell>
          <cell r="CP392">
            <v>-728424538.59000003</v>
          </cell>
          <cell r="CQ392">
            <v>-732859141.05000007</v>
          </cell>
          <cell r="CR392">
            <v>-753966894.48000002</v>
          </cell>
          <cell r="CS392">
            <v>-759522822.35000002</v>
          </cell>
          <cell r="CT392">
            <v>-764628509.5</v>
          </cell>
          <cell r="CU392">
            <v>-780671338.2700001</v>
          </cell>
          <cell r="CV392">
            <v>-786533938.06000006</v>
          </cell>
          <cell r="CW392">
            <v>-796321875.5200001</v>
          </cell>
          <cell r="CX392">
            <v>-863401135.88000011</v>
          </cell>
          <cell r="CY392">
            <v>-874307767.75</v>
          </cell>
          <cell r="CZ392">
            <v>-851473905.08000004</v>
          </cell>
          <cell r="DA392">
            <v>-887729249.3900001</v>
          </cell>
          <cell r="DB392">
            <v>-894387809.22000003</v>
          </cell>
          <cell r="DC392">
            <v>-898783007.57000005</v>
          </cell>
          <cell r="DD392">
            <v>-923722123.07000005</v>
          </cell>
          <cell r="DE392">
            <v>-930992131.5</v>
          </cell>
          <cell r="DF392">
            <v>-919568831.0200001</v>
          </cell>
          <cell r="DG392">
            <v>-950501850.08000004</v>
          </cell>
          <cell r="DH392">
            <v>-991608970.00999999</v>
          </cell>
        </row>
        <row r="393">
          <cell r="P393">
            <v>-241354349.40000001</v>
          </cell>
          <cell r="AB393">
            <v>-261337087.22999999</v>
          </cell>
          <cell r="AC393">
            <v>-261338791.66999999</v>
          </cell>
          <cell r="AD393">
            <v>-261340496.11000001</v>
          </cell>
          <cell r="AE393">
            <v>-261342200.55000001</v>
          </cell>
          <cell r="AF393">
            <v>-261343904.99000001</v>
          </cell>
          <cell r="AG393">
            <v>-261345609.43000001</v>
          </cell>
          <cell r="AH393">
            <v>-261347313.87</v>
          </cell>
          <cell r="AI393">
            <v>-261349018.31</v>
          </cell>
          <cell r="AJ393">
            <v>-261350722.75</v>
          </cell>
          <cell r="AK393">
            <v>-261352427.19</v>
          </cell>
          <cell r="AL393">
            <v>-261354131.63</v>
          </cell>
          <cell r="AM393">
            <v>-261355836.06999999</v>
          </cell>
          <cell r="AN393">
            <v>-261357540.50999999</v>
          </cell>
          <cell r="AO393">
            <v>-261359244.94999999</v>
          </cell>
          <cell r="AP393">
            <v>-261360949.38999999</v>
          </cell>
          <cell r="AQ393">
            <v>-261362653.83000001</v>
          </cell>
          <cell r="AR393">
            <v>-261364358.27000001</v>
          </cell>
          <cell r="AS393">
            <v>-261366062.71000001</v>
          </cell>
          <cell r="AT393">
            <v>-261367767.15000001</v>
          </cell>
          <cell r="AU393">
            <v>-261369471.59</v>
          </cell>
          <cell r="AV393">
            <v>-261371176.03</v>
          </cell>
          <cell r="AW393">
            <v>-261372880.47</v>
          </cell>
          <cell r="AX393">
            <v>-261374584.91</v>
          </cell>
          <cell r="AY393">
            <v>-261376289.34999999</v>
          </cell>
          <cell r="AZ393">
            <v>-261377993.78999999</v>
          </cell>
          <cell r="BA393">
            <v>-261379698.22999999</v>
          </cell>
          <cell r="BB393">
            <v>-261381402.66999999</v>
          </cell>
          <cell r="BC393">
            <v>-261383107.11000001</v>
          </cell>
          <cell r="BD393">
            <v>-261384811.55000001</v>
          </cell>
          <cell r="BE393">
            <v>-211386515.99000001</v>
          </cell>
          <cell r="BF393">
            <v>-286193377.49000001</v>
          </cell>
          <cell r="BG393">
            <v>-285990157.00999999</v>
          </cell>
          <cell r="BH393">
            <v>-285992978.12</v>
          </cell>
          <cell r="BI393">
            <v>-285995799.23000002</v>
          </cell>
          <cell r="BJ393">
            <v>-310871216.29000002</v>
          </cell>
          <cell r="BK393">
            <v>-310874384.55000001</v>
          </cell>
          <cell r="BL393">
            <v>-310877552.81</v>
          </cell>
          <cell r="BM393">
            <v>-310880721.06999999</v>
          </cell>
          <cell r="BN393">
            <v>-310883889.32999998</v>
          </cell>
          <cell r="BO393">
            <v>-310887057.58999997</v>
          </cell>
          <cell r="BP393">
            <v>-310890225.85000002</v>
          </cell>
          <cell r="BQ393">
            <v>-310893394.11000001</v>
          </cell>
          <cell r="BR393">
            <v>-310896562.37</v>
          </cell>
          <cell r="BS393">
            <v>-335593230.63</v>
          </cell>
          <cell r="BT393">
            <v>-335597223.38999999</v>
          </cell>
          <cell r="BU393">
            <v>-335601217.80000001</v>
          </cell>
          <cell r="BV393">
            <v>-335605212.20999998</v>
          </cell>
          <cell r="BW393">
            <v>-335609206.62</v>
          </cell>
          <cell r="BX393">
            <v>-335613201.02999997</v>
          </cell>
          <cell r="BY393">
            <v>-335617195.44</v>
          </cell>
          <cell r="BZ393">
            <v>-335621189.85000002</v>
          </cell>
          <cell r="CA393">
            <v>-335625184.25999999</v>
          </cell>
          <cell r="CB393">
            <v>-335629178.67000002</v>
          </cell>
          <cell r="CC393">
            <v>-335633173.07999998</v>
          </cell>
          <cell r="CD393">
            <v>-335637167.49000001</v>
          </cell>
          <cell r="CE393">
            <v>-335641161.89999998</v>
          </cell>
          <cell r="CF393">
            <v>-335645156.31</v>
          </cell>
          <cell r="CG393">
            <v>-335649150.72000003</v>
          </cell>
          <cell r="CH393">
            <v>-335653145.13</v>
          </cell>
          <cell r="CI393">
            <v>-335657139.54000002</v>
          </cell>
          <cell r="CJ393">
            <v>-335661133.94999999</v>
          </cell>
          <cell r="CK393">
            <v>-335665128.36000001</v>
          </cell>
          <cell r="CL393">
            <v>-335669122.76999998</v>
          </cell>
          <cell r="CM393">
            <v>-565045603.71000004</v>
          </cell>
          <cell r="CN393">
            <v>-565053256.14999998</v>
          </cell>
          <cell r="CO393">
            <v>-518296407.08999997</v>
          </cell>
          <cell r="CP393">
            <v>-518304238.02999997</v>
          </cell>
          <cell r="CQ393">
            <v>-518312068.97000003</v>
          </cell>
          <cell r="CR393">
            <v>-518319899.91000003</v>
          </cell>
          <cell r="CS393">
            <v>-518327730.85000002</v>
          </cell>
          <cell r="CT393">
            <v>-518335561.79000002</v>
          </cell>
          <cell r="CU393">
            <v>-518343392.73000002</v>
          </cell>
          <cell r="CV393">
            <v>-518351223.67000002</v>
          </cell>
          <cell r="CW393">
            <v>-518359054.61000001</v>
          </cell>
          <cell r="CX393">
            <v>-518366885.55000001</v>
          </cell>
          <cell r="CY393">
            <v>-518374716.49000001</v>
          </cell>
          <cell r="CZ393">
            <v>-518382547.43000001</v>
          </cell>
          <cell r="DA393">
            <v>-518390378.37</v>
          </cell>
          <cell r="DB393">
            <v>-518398209.31</v>
          </cell>
          <cell r="DC393">
            <v>-593345952.29999995</v>
          </cell>
          <cell r="DD393">
            <v>-593354508.16999996</v>
          </cell>
          <cell r="DE393">
            <v>-568363064.03999996</v>
          </cell>
          <cell r="DF393">
            <v>-568371365.74000001</v>
          </cell>
          <cell r="DG393">
            <v>-568379667.44000006</v>
          </cell>
          <cell r="DH393">
            <v>-568387969.13999999</v>
          </cell>
        </row>
        <row r="395">
          <cell r="AB395">
            <v>0</v>
          </cell>
          <cell r="AC395">
            <v>0</v>
          </cell>
          <cell r="AD395">
            <v>0</v>
          </cell>
          <cell r="AE395">
            <v>0</v>
          </cell>
          <cell r="AF395">
            <v>0</v>
          </cell>
          <cell r="AG395">
            <v>0</v>
          </cell>
          <cell r="AH395">
            <v>0</v>
          </cell>
          <cell r="AI395">
            <v>-4.8428773880004883E-8</v>
          </cell>
          <cell r="AJ395">
            <v>7.0780515670776367E-8</v>
          </cell>
          <cell r="AK395">
            <v>-1.1548399925231934E-7</v>
          </cell>
          <cell r="AL395">
            <v>-1.9371509552001953E-7</v>
          </cell>
          <cell r="AM395">
            <v>-1.0058283805847168E-7</v>
          </cell>
          <cell r="AN395">
            <v>-3.8370490074157715E-7</v>
          </cell>
          <cell r="AO395">
            <v>-6.3329935073852539E-8</v>
          </cell>
          <cell r="AP395">
            <v>-4.8428773880004883E-8</v>
          </cell>
          <cell r="AQ395">
            <v>0</v>
          </cell>
          <cell r="AR395">
            <v>-9.6857547760009766E-8</v>
          </cell>
          <cell r="AS395">
            <v>-7.8231096267700195E-8</v>
          </cell>
          <cell r="AT395">
            <v>6.7055225372314453E-8</v>
          </cell>
          <cell r="AU395">
            <v>-3.1292438507080078E-7</v>
          </cell>
          <cell r="AV395">
            <v>-1.9371509552001953E-7</v>
          </cell>
          <cell r="AW395">
            <v>-6.7055225372314453E-8</v>
          </cell>
          <cell r="AX395">
            <v>1.2665987014770508E-7</v>
          </cell>
          <cell r="AY395">
            <v>0</v>
          </cell>
          <cell r="AZ395">
            <v>-2.7299392968416214E-7</v>
          </cell>
          <cell r="BA395">
            <v>-9.0571120381355286E-8</v>
          </cell>
          <cell r="BB395">
            <v>-0.99999998812563717</v>
          </cell>
          <cell r="BC395">
            <v>-6.6822394728660583E-8</v>
          </cell>
          <cell r="BD395">
            <v>-9.5460563898086548E-8</v>
          </cell>
          <cell r="BE395">
            <v>-5.1222741603851318E-8</v>
          </cell>
          <cell r="BF395">
            <v>0.99999975459650159</v>
          </cell>
          <cell r="BG395">
            <v>1.0477378964424133E-7</v>
          </cell>
          <cell r="BH395">
            <v>-3.6787241697311401E-8</v>
          </cell>
          <cell r="BI395">
            <v>3.564637154340744E-7</v>
          </cell>
          <cell r="BJ395">
            <v>-2.1420419216156006E-8</v>
          </cell>
          <cell r="BK395">
            <v>4.2840838432312012E-8</v>
          </cell>
          <cell r="BL395">
            <v>-3.9934820961207151E-7</v>
          </cell>
          <cell r="BM395">
            <v>-2.0978040993213654E-7</v>
          </cell>
          <cell r="BN395">
            <v>-3.3411197364330292E-8</v>
          </cell>
          <cell r="BO395">
            <v>6.4133200794458389E-7</v>
          </cell>
          <cell r="BP395">
            <v>-8.2305632531642914E-8</v>
          </cell>
          <cell r="BQ395">
            <v>2.1932646632194519E-7</v>
          </cell>
          <cell r="BR395">
            <v>-2.7054920792579651E-7</v>
          </cell>
          <cell r="BS395">
            <v>-2.1420419216156006E-8</v>
          </cell>
          <cell r="BT395">
            <v>1.2759119272232056E-7</v>
          </cell>
          <cell r="BU395">
            <v>1.4423858374357224E-7</v>
          </cell>
          <cell r="BV395">
            <v>-1.0000001990702003</v>
          </cell>
          <cell r="BW395">
            <v>-0.99999986885813996</v>
          </cell>
          <cell r="BX395">
            <v>-1.1932570487260818E-8</v>
          </cell>
          <cell r="BY395">
            <v>-3.0995579436421394E-7</v>
          </cell>
          <cell r="BZ395">
            <v>-4.8277433961629868E-7</v>
          </cell>
          <cell r="CA395">
            <v>-1.0710209608078003E-8</v>
          </cell>
          <cell r="CB395">
            <v>-7.7532604336738586E-8</v>
          </cell>
          <cell r="CC395">
            <v>3.016320988535881E-7</v>
          </cell>
          <cell r="CD395">
            <v>1.203734427690506E-7</v>
          </cell>
          <cell r="CE395">
            <v>-2.4319160729646683E-7</v>
          </cell>
          <cell r="CF395">
            <v>-8.070492185652256E-7</v>
          </cell>
          <cell r="CG395">
            <v>3.540480975061655E-7</v>
          </cell>
          <cell r="CH395">
            <v>-3.9336737245321274E-7</v>
          </cell>
          <cell r="CI395">
            <v>-1.3830140233039856E-7</v>
          </cell>
          <cell r="CJ395">
            <v>-6.8068038672208786E-7</v>
          </cell>
          <cell r="CK395">
            <v>-2.8638169169425964E-8</v>
          </cell>
          <cell r="CL395">
            <v>-1.4551915228366852E-7</v>
          </cell>
          <cell r="CM395">
            <v>3.1595118343830109E-7</v>
          </cell>
          <cell r="CN395">
            <v>6.4726918935775757E-7</v>
          </cell>
          <cell r="CO395">
            <v>-3.6903657019138336E-8</v>
          </cell>
          <cell r="CP395">
            <v>-1.5017576515674591E-7</v>
          </cell>
          <cell r="CQ395">
            <v>-5.7276338338851929E-8</v>
          </cell>
          <cell r="CR395">
            <v>8.9406967163085938E-8</v>
          </cell>
          <cell r="CS395">
            <v>-3.1711533665657043E-7</v>
          </cell>
          <cell r="CT395">
            <v>-1.0617077350616455E-7</v>
          </cell>
          <cell r="CU395">
            <v>4.2188912630081177E-7</v>
          </cell>
          <cell r="CV395">
            <v>-2.859160304069519E-7</v>
          </cell>
          <cell r="CW395">
            <v>-1.5250407159328461E-7</v>
          </cell>
          <cell r="CX395">
            <v>5.1019014790654182E-7</v>
          </cell>
          <cell r="CY395">
            <v>-1.4901161193847656E-7</v>
          </cell>
          <cell r="CZ395">
            <v>2.3009488359093666E-7</v>
          </cell>
          <cell r="DA395">
            <v>-1.4068791642785072E-7</v>
          </cell>
          <cell r="DB395">
            <v>3.9814040064811707E-7</v>
          </cell>
          <cell r="DC395">
            <v>3.9336737245321274E-7</v>
          </cell>
          <cell r="DD395">
            <v>-4.243338480591774E-7</v>
          </cell>
          <cell r="DE395">
            <v>5.0547532737255096E-7</v>
          </cell>
          <cell r="DF395">
            <v>-3.7788413465023041E-7</v>
          </cell>
          <cell r="DG395">
            <v>4.0174927562475204E-7</v>
          </cell>
          <cell r="DH395">
            <v>3.9348378777503967E-7</v>
          </cell>
        </row>
        <row r="397">
          <cell r="AC397">
            <v>0</v>
          </cell>
          <cell r="AD397">
            <v>0</v>
          </cell>
          <cell r="AE397">
            <v>0</v>
          </cell>
          <cell r="AF397">
            <v>0</v>
          </cell>
          <cell r="AG397">
            <v>0</v>
          </cell>
          <cell r="AH397">
            <v>199682.99999964237</v>
          </cell>
          <cell r="AI397">
            <v>266805</v>
          </cell>
          <cell r="AJ397">
            <v>334211.00000011921</v>
          </cell>
          <cell r="AK397">
            <v>401903.99999988079</v>
          </cell>
          <cell r="AL397">
            <v>469886</v>
          </cell>
          <cell r="AM397">
            <v>584615.99999952316</v>
          </cell>
          <cell r="AN397">
            <v>676558.00000035763</v>
          </cell>
          <cell r="AO397">
            <v>768482.99999940395</v>
          </cell>
          <cell r="AP397">
            <v>860803.99999976158</v>
          </cell>
          <cell r="AQ397">
            <v>953522.99999976158</v>
          </cell>
          <cell r="AR397">
            <v>989835</v>
          </cell>
          <cell r="AS397">
            <v>1026083.0000001192</v>
          </cell>
          <cell r="AT397">
            <v>1062266</v>
          </cell>
          <cell r="AU397">
            <v>1098383.0000004768</v>
          </cell>
          <cell r="AV397">
            <v>1134433.0000002384</v>
          </cell>
          <cell r="AW397">
            <v>1170415.9999997616</v>
          </cell>
          <cell r="AX397">
            <v>1186464.9999997616</v>
          </cell>
          <cell r="AY397">
            <v>1202280.9999995232</v>
          </cell>
          <cell r="AZ397">
            <v>1217863.9999997616</v>
          </cell>
          <cell r="BA397">
            <v>1232547.9999995232</v>
          </cell>
          <cell r="BB397">
            <v>1246988.0000004768</v>
          </cell>
          <cell r="BC397">
            <v>1261182</v>
          </cell>
          <cell r="BD397">
            <v>1275128.9999997616</v>
          </cell>
          <cell r="BE397">
            <v>1288826.0000002384</v>
          </cell>
          <cell r="BF397">
            <v>1302271.9999997616</v>
          </cell>
          <cell r="BG397">
            <v>1315463.9999997616</v>
          </cell>
          <cell r="BH397">
            <v>1328400.9999995232</v>
          </cell>
          <cell r="BI397">
            <v>1341079.9999992847</v>
          </cell>
          <cell r="BJ397">
            <v>1353498.9999995232</v>
          </cell>
          <cell r="BK397">
            <v>1365655.9999995232</v>
          </cell>
          <cell r="BL397">
            <v>1377548.9999997616</v>
          </cell>
          <cell r="BM397">
            <v>1388511</v>
          </cell>
          <cell r="BN397">
            <v>1399198.9999997616</v>
          </cell>
          <cell r="BO397">
            <v>1409611</v>
          </cell>
          <cell r="BP397">
            <v>1419743.9999997616</v>
          </cell>
          <cell r="BQ397">
            <v>1429595.9999995232</v>
          </cell>
          <cell r="BR397">
            <v>1439164</v>
          </cell>
          <cell r="BS397">
            <v>1448446.9999997616</v>
          </cell>
          <cell r="BT397">
            <v>1457441.9999997616</v>
          </cell>
          <cell r="BU397">
            <v>1466145.9999992847</v>
          </cell>
          <cell r="BV397">
            <v>1474556</v>
          </cell>
          <cell r="BW397">
            <v>1482670.9999992847</v>
          </cell>
          <cell r="BX397">
            <v>1490488.9999997616</v>
          </cell>
          <cell r="BY397">
            <v>1497342.9999997616</v>
          </cell>
          <cell r="BZ397">
            <v>1503890</v>
          </cell>
          <cell r="CA397">
            <v>1510126.0000011921</v>
          </cell>
          <cell r="CB397">
            <v>1531725.9999997616</v>
          </cell>
          <cell r="CC397">
            <v>1553140.0000002384</v>
          </cell>
          <cell r="CD397">
            <v>1574365.0000011921</v>
          </cell>
          <cell r="CE397">
            <v>1595402.0000009537</v>
          </cell>
          <cell r="CF397">
            <v>1616247.0000007153</v>
          </cell>
          <cell r="CG397">
            <v>1636898.9999997616</v>
          </cell>
          <cell r="CH397">
            <v>1662840</v>
          </cell>
          <cell r="CI397">
            <v>1688630.9999997616</v>
          </cell>
          <cell r="CJ397">
            <v>-802796.50999975204</v>
          </cell>
          <cell r="CK397">
            <v>1739094</v>
          </cell>
          <cell r="CL397">
            <v>1763758.0000007153</v>
          </cell>
          <cell r="CM397">
            <v>1788261.0000004768</v>
          </cell>
          <cell r="CN397">
            <v>1812601.9999997616</v>
          </cell>
          <cell r="CO397">
            <v>1836778.9999995232</v>
          </cell>
          <cell r="CP397">
            <v>1860791</v>
          </cell>
          <cell r="CQ397">
            <v>1884637</v>
          </cell>
          <cell r="CR397">
            <v>1908314.9999992847</v>
          </cell>
          <cell r="CS397">
            <v>1931823.9999992847</v>
          </cell>
          <cell r="CT397">
            <v>1955161.9999997616</v>
          </cell>
          <cell r="CU397">
            <v>1978329.0000004768</v>
          </cell>
          <cell r="CV397">
            <v>2001320.9999995232</v>
          </cell>
          <cell r="CW397">
            <v>2023476</v>
          </cell>
          <cell r="CX397">
            <v>2045451.0000007153</v>
          </cell>
          <cell r="CY397">
            <v>1557178.9999997616</v>
          </cell>
          <cell r="CZ397">
            <v>1572913</v>
          </cell>
          <cell r="DA397">
            <v>1588506.9999997616</v>
          </cell>
          <cell r="DB397">
            <v>1603958.9999997616</v>
          </cell>
          <cell r="DC397">
            <v>0</v>
          </cell>
          <cell r="DD397">
            <v>0</v>
          </cell>
          <cell r="DE397">
            <v>0</v>
          </cell>
          <cell r="DF397">
            <v>0</v>
          </cell>
          <cell r="DG397">
            <v>0</v>
          </cell>
          <cell r="DH397">
            <v>0</v>
          </cell>
        </row>
      </sheetData>
      <sheetData sheetId="12" refreshError="1"/>
      <sheetData sheetId="13">
        <row r="44">
          <cell r="EN44">
            <v>4339.27621</v>
          </cell>
          <cell r="EO44">
            <v>4318.30746</v>
          </cell>
          <cell r="EP44">
            <v>4297.33871</v>
          </cell>
          <cell r="EQ44">
            <v>4276.36996</v>
          </cell>
          <cell r="ER44">
            <v>4255.40121</v>
          </cell>
          <cell r="ES44">
            <v>4248.9452799999999</v>
          </cell>
          <cell r="ET44">
            <v>4226.5231299999996</v>
          </cell>
          <cell r="EU44">
            <v>4204.3671599999998</v>
          </cell>
          <cell r="EV44">
            <v>4182.21119</v>
          </cell>
          <cell r="EW44">
            <v>4161.0365000000002</v>
          </cell>
          <cell r="EX44">
            <v>4138.7578700000004</v>
          </cell>
          <cell r="EY44">
            <v>4116.4792400000006</v>
          </cell>
          <cell r="EZ44">
            <v>4568.2277899999999</v>
          </cell>
          <cell r="FA44">
            <v>4607.0475999999999</v>
          </cell>
          <cell r="FB44">
            <v>4577.8456399999995</v>
          </cell>
          <cell r="FC44">
            <v>4562.2672300000004</v>
          </cell>
          <cell r="FD44">
            <v>4533.6203099999993</v>
          </cell>
          <cell r="FE44">
            <v>4543.2443700000003</v>
          </cell>
        </row>
        <row r="66">
          <cell r="EN66">
            <v>520000</v>
          </cell>
          <cell r="EO66">
            <v>520000</v>
          </cell>
          <cell r="EP66">
            <v>520000</v>
          </cell>
          <cell r="EQ66">
            <v>520000</v>
          </cell>
          <cell r="ER66">
            <v>520000</v>
          </cell>
          <cell r="ES66">
            <v>520000</v>
          </cell>
          <cell r="ET66">
            <v>520000</v>
          </cell>
          <cell r="EU66">
            <v>520000</v>
          </cell>
          <cell r="EV66">
            <v>520000</v>
          </cell>
          <cell r="EW66">
            <v>520000</v>
          </cell>
          <cell r="EX66">
            <v>520000</v>
          </cell>
          <cell r="EY66">
            <v>520000</v>
          </cell>
          <cell r="EZ66">
            <v>595000</v>
          </cell>
          <cell r="FA66">
            <v>595000</v>
          </cell>
          <cell r="FB66">
            <v>570000</v>
          </cell>
          <cell r="FC66">
            <v>570000</v>
          </cell>
          <cell r="FD66">
            <v>570000</v>
          </cell>
          <cell r="FE66">
            <v>570000</v>
          </cell>
        </row>
        <row r="68">
          <cell r="EN68">
            <v>-1687.93103</v>
          </cell>
          <cell r="EO68">
            <v>-1680.1000900000001</v>
          </cell>
          <cell r="EP68">
            <v>-1672.2691499999999</v>
          </cell>
          <cell r="EQ68">
            <v>-1664.43821</v>
          </cell>
          <cell r="ER68">
            <v>-1656.60727</v>
          </cell>
          <cell r="ES68">
            <v>-1648.7763300000001</v>
          </cell>
          <cell r="ET68">
            <v>-1640.9453899999999</v>
          </cell>
          <cell r="EU68">
            <v>-1633.11445</v>
          </cell>
          <cell r="EV68">
            <v>-1625.28351</v>
          </cell>
          <cell r="EW68">
            <v>-1617.4525700000002</v>
          </cell>
          <cell r="EX68">
            <v>-1609.6216299999999</v>
          </cell>
          <cell r="EY68">
            <v>-1601.79069</v>
          </cell>
          <cell r="EZ68">
            <v>-1654.0476999999998</v>
          </cell>
          <cell r="FA68">
            <v>-1645.4918300000002</v>
          </cell>
          <cell r="FB68">
            <v>-1636.93596</v>
          </cell>
          <cell r="FC68">
            <v>-1628.63426</v>
          </cell>
          <cell r="FD68">
            <v>-1620.3325600000001</v>
          </cell>
          <cell r="FE68">
            <v>-1612.0308600000001</v>
          </cell>
        </row>
        <row r="78">
          <cell r="EN78">
            <v>579</v>
          </cell>
          <cell r="EO78">
            <v>579</v>
          </cell>
          <cell r="EP78">
            <v>579</v>
          </cell>
          <cell r="EQ78">
            <v>604</v>
          </cell>
          <cell r="ER78">
            <v>604</v>
          </cell>
          <cell r="ES78">
            <v>604</v>
          </cell>
          <cell r="ET78">
            <v>604</v>
          </cell>
          <cell r="EU78">
            <v>604</v>
          </cell>
          <cell r="EV78">
            <v>604</v>
          </cell>
          <cell r="EW78">
            <v>604</v>
          </cell>
          <cell r="EX78">
            <v>614</v>
          </cell>
          <cell r="EY78">
            <v>614</v>
          </cell>
          <cell r="EZ78">
            <v>614</v>
          </cell>
          <cell r="FA78">
            <v>614</v>
          </cell>
          <cell r="FB78">
            <v>614</v>
          </cell>
          <cell r="FC78">
            <v>614</v>
          </cell>
          <cell r="FD78">
            <v>614</v>
          </cell>
          <cell r="FE78">
            <v>715</v>
          </cell>
        </row>
        <row r="84">
          <cell r="EN84">
            <v>48.230419999999995</v>
          </cell>
          <cell r="EO84">
            <v>48.230419999999995</v>
          </cell>
          <cell r="EP84">
            <v>48.230419999999995</v>
          </cell>
          <cell r="EQ84">
            <v>51.395890000000001</v>
          </cell>
          <cell r="ER84">
            <v>51.289389999999997</v>
          </cell>
          <cell r="ES84">
            <v>51.289389999999997</v>
          </cell>
          <cell r="ET84">
            <v>51.289389999999997</v>
          </cell>
          <cell r="EU84">
            <v>52.022760000000005</v>
          </cell>
          <cell r="EV84">
            <v>87.422029999999992</v>
          </cell>
          <cell r="EW84">
            <v>87.422029999999992</v>
          </cell>
          <cell r="EX84">
            <v>87.422029999999992</v>
          </cell>
          <cell r="EY84">
            <v>91.297029999999992</v>
          </cell>
          <cell r="EZ84">
            <v>91.297029999999992</v>
          </cell>
          <cell r="FA84">
            <v>91.297029999999992</v>
          </cell>
          <cell r="FB84">
            <v>93.897030000000001</v>
          </cell>
          <cell r="FC84">
            <v>93.727220000000003</v>
          </cell>
          <cell r="FD84">
            <v>93.246369999999999</v>
          </cell>
          <cell r="FE84">
            <v>93.246369999999999</v>
          </cell>
        </row>
        <row r="93">
          <cell r="EN93">
            <v>25706.203600000001</v>
          </cell>
          <cell r="EO93">
            <v>25782.52836</v>
          </cell>
          <cell r="EP93">
            <v>25962.796670000003</v>
          </cell>
          <cell r="EQ93">
            <v>26074.226340000001</v>
          </cell>
          <cell r="ER93">
            <v>26300.461460000002</v>
          </cell>
          <cell r="ES93">
            <v>26450.409190000002</v>
          </cell>
          <cell r="ET93">
            <v>26724.60528</v>
          </cell>
          <cell r="EU93">
            <v>26837.940440000002</v>
          </cell>
          <cell r="EV93">
            <v>27025.575949999999</v>
          </cell>
          <cell r="EW93">
            <v>27142.982909999999</v>
          </cell>
          <cell r="EX93">
            <v>27369.426920000002</v>
          </cell>
          <cell r="EY93">
            <v>27734.4241</v>
          </cell>
          <cell r="EZ93">
            <v>27952.511770000001</v>
          </cell>
          <cell r="FA93">
            <v>28170.52145</v>
          </cell>
          <cell r="FB93">
            <v>28457.241420000002</v>
          </cell>
          <cell r="FC93">
            <v>28627.534520000001</v>
          </cell>
          <cell r="FD93">
            <v>28840.164270000001</v>
          </cell>
          <cell r="FE93">
            <v>29144.41906</v>
          </cell>
        </row>
      </sheetData>
      <sheetData sheetId="14">
        <row r="37">
          <cell r="EB37">
            <v>1636354.16</v>
          </cell>
          <cell r="EC37">
            <v>1636354.16</v>
          </cell>
          <cell r="ED37">
            <v>1542916.66</v>
          </cell>
          <cell r="EE37">
            <v>1636354.16</v>
          </cell>
          <cell r="EF37">
            <v>1636354.16</v>
          </cell>
          <cell r="EG37">
            <v>1636354.16</v>
          </cell>
          <cell r="EH37">
            <v>1636354.16</v>
          </cell>
          <cell r="EI37">
            <v>1636354.16</v>
          </cell>
          <cell r="EJ37">
            <v>1636354.16</v>
          </cell>
          <cell r="EK37">
            <v>1636354.16</v>
          </cell>
          <cell r="EL37">
            <v>1636354.16</v>
          </cell>
          <cell r="EM37">
            <v>1636354.16</v>
          </cell>
          <cell r="EN37">
            <v>1802760.41</v>
          </cell>
          <cell r="EO37">
            <v>1913697.91</v>
          </cell>
          <cell r="EP37">
            <v>1886614.45</v>
          </cell>
          <cell r="EQ37">
            <v>1859531.24</v>
          </cell>
          <cell r="ER37">
            <v>1859531.24</v>
          </cell>
          <cell r="ES37">
            <v>1859531.24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D550-260E-4A13-AB39-354B8C6762AB}">
  <sheetPr codeName="Sheet8">
    <tabColor rgb="FF002060"/>
    <pageSetUpPr fitToPage="1"/>
  </sheetPr>
  <dimension ref="A1:EN97"/>
  <sheetViews>
    <sheetView tabSelected="1" topLeftCell="A16" zoomScale="85" zoomScaleNormal="85" workbookViewId="0">
      <selection activeCell="CW38" sqref="CW38"/>
    </sheetView>
  </sheetViews>
  <sheetFormatPr defaultColWidth="8.85546875" defaultRowHeight="12.75"/>
  <cols>
    <col min="1" max="1" width="19.85546875" style="2" customWidth="1"/>
    <col min="2" max="2" width="42.5703125" style="2" customWidth="1"/>
    <col min="3" max="31" width="9.5703125" style="2" hidden="1" customWidth="1"/>
    <col min="32" max="49" width="10.5703125" style="2" hidden="1" customWidth="1"/>
    <col min="50" max="74" width="11.5703125" style="2" hidden="1" customWidth="1"/>
    <col min="75" max="79" width="12.42578125" style="2" hidden="1" customWidth="1"/>
    <col min="80" max="81" width="10.5703125" style="2" hidden="1" customWidth="1"/>
    <col min="82" max="83" width="9.5703125" style="2" hidden="1" customWidth="1"/>
    <col min="84" max="98" width="12.42578125" style="2" hidden="1" customWidth="1"/>
    <col min="99" max="134" width="12.42578125" style="2" customWidth="1"/>
    <col min="135" max="135" width="8.85546875" style="2"/>
    <col min="136" max="138" width="12.42578125" style="2" bestFit="1" customWidth="1"/>
    <col min="139" max="139" width="14.42578125" style="2" bestFit="1" customWidth="1"/>
    <col min="140" max="142" width="8.85546875" style="2"/>
    <col min="143" max="143" width="15.5703125" style="2" customWidth="1"/>
    <col min="144" max="144" width="9.42578125" style="2" bestFit="1" customWidth="1"/>
    <col min="145" max="16384" width="8.85546875" style="2"/>
  </cols>
  <sheetData>
    <row r="1" spans="1:138" ht="15">
      <c r="A1" s="1" t="s">
        <v>0</v>
      </c>
      <c r="B1" s="1"/>
      <c r="C1" s="1"/>
      <c r="D1" s="1"/>
      <c r="E1" s="1"/>
      <c r="F1" s="1"/>
      <c r="G1" s="1"/>
      <c r="H1" s="1"/>
      <c r="I1" s="1"/>
      <c r="J1" s="1"/>
      <c r="K1" s="1"/>
      <c r="L1" s="1"/>
      <c r="M1" s="1"/>
      <c r="N1" s="1"/>
      <c r="O1" s="1"/>
      <c r="P1" s="1"/>
      <c r="Q1" s="1"/>
      <c r="R1" s="1"/>
      <c r="S1" s="1"/>
      <c r="U1" s="3"/>
    </row>
    <row r="2" spans="1:138" ht="15">
      <c r="A2" s="4" t="s">
        <v>1</v>
      </c>
      <c r="B2" s="4"/>
      <c r="C2" s="4"/>
      <c r="D2" s="4"/>
      <c r="E2" s="4"/>
      <c r="F2" s="4"/>
      <c r="G2" s="4"/>
      <c r="H2" s="4"/>
      <c r="I2" s="4"/>
      <c r="J2" s="4"/>
      <c r="K2" s="4"/>
      <c r="L2" s="4"/>
      <c r="M2" s="4"/>
      <c r="N2" s="4"/>
      <c r="O2" s="4"/>
      <c r="P2" s="4"/>
      <c r="Q2" s="4"/>
      <c r="R2" s="4"/>
      <c r="S2" s="4"/>
      <c r="U2" s="4"/>
    </row>
    <row r="3" spans="1:138" ht="18">
      <c r="A3" s="4"/>
      <c r="B3" s="4"/>
      <c r="C3" s="4"/>
      <c r="D3" s="4"/>
      <c r="E3" s="4"/>
      <c r="F3" s="4"/>
      <c r="G3" s="4"/>
      <c r="H3" s="4"/>
      <c r="I3" s="4"/>
      <c r="J3" s="4"/>
      <c r="K3" s="4"/>
      <c r="L3" s="4"/>
      <c r="M3" s="4"/>
      <c r="N3" s="4"/>
      <c r="O3" s="4"/>
      <c r="P3" s="4"/>
      <c r="Q3" s="4"/>
      <c r="R3" s="4"/>
      <c r="S3" s="4"/>
      <c r="U3" s="4"/>
      <c r="CW3" s="57" t="s">
        <v>77</v>
      </c>
      <c r="CX3" s="58" t="s">
        <v>78</v>
      </c>
    </row>
    <row r="4" spans="1:138" ht="15">
      <c r="B4" s="5" t="s">
        <v>2</v>
      </c>
      <c r="C4" s="4"/>
      <c r="D4" s="4"/>
      <c r="E4" s="4"/>
      <c r="F4" s="4"/>
      <c r="G4" s="4"/>
      <c r="H4" s="4"/>
      <c r="I4" s="4"/>
      <c r="J4" s="4"/>
      <c r="K4" s="4"/>
      <c r="L4" s="4"/>
      <c r="M4" s="4"/>
      <c r="N4" s="4"/>
      <c r="O4" s="4"/>
      <c r="P4" s="4"/>
      <c r="Q4" s="4"/>
      <c r="R4" s="4"/>
      <c r="S4" s="4"/>
      <c r="U4" s="4"/>
    </row>
    <row r="5" spans="1:138" ht="15">
      <c r="B5" s="6" t="s">
        <v>3</v>
      </c>
      <c r="C5" s="4"/>
      <c r="D5" s="4"/>
      <c r="E5" s="4"/>
      <c r="F5" s="4"/>
      <c r="G5" s="4"/>
      <c r="H5" s="4"/>
      <c r="I5" s="4"/>
      <c r="J5" s="4"/>
      <c r="K5" s="4"/>
      <c r="L5" s="4"/>
      <c r="M5" s="4"/>
      <c r="N5" s="4"/>
      <c r="O5" s="4"/>
      <c r="P5" s="4"/>
      <c r="Q5" s="4"/>
      <c r="R5" s="4"/>
      <c r="S5" s="4"/>
      <c r="T5" s="4"/>
      <c r="U5" s="4"/>
    </row>
    <row r="6" spans="1:138" ht="15">
      <c r="B6" s="7" t="s">
        <v>4</v>
      </c>
      <c r="C6" s="4"/>
      <c r="D6" s="4"/>
      <c r="E6" s="4"/>
      <c r="F6" s="4"/>
      <c r="G6" s="4"/>
      <c r="H6" s="4"/>
      <c r="I6" s="4"/>
      <c r="J6" s="4"/>
      <c r="K6" s="4"/>
      <c r="L6" s="4"/>
      <c r="M6" s="4"/>
      <c r="N6" s="4"/>
      <c r="O6" s="4"/>
      <c r="P6" s="4"/>
      <c r="Q6" s="4"/>
      <c r="R6" s="4"/>
      <c r="S6" s="4"/>
      <c r="T6" s="4"/>
      <c r="U6" s="4"/>
    </row>
    <row r="7" spans="1:138" ht="15">
      <c r="B7" s="8" t="s">
        <v>5</v>
      </c>
      <c r="C7" s="4"/>
      <c r="D7" s="4"/>
      <c r="E7" s="4"/>
      <c r="F7" s="4"/>
      <c r="G7" s="4"/>
      <c r="H7" s="4"/>
      <c r="I7" s="4"/>
      <c r="J7" s="4"/>
      <c r="K7" s="4"/>
      <c r="L7" s="4"/>
      <c r="M7" s="4"/>
      <c r="N7" s="4"/>
      <c r="O7" s="4"/>
      <c r="P7" s="4"/>
      <c r="Q7" s="4"/>
      <c r="R7" s="4"/>
      <c r="S7" s="4"/>
      <c r="T7" s="4"/>
      <c r="U7" s="4"/>
    </row>
    <row r="8" spans="1:138" ht="15">
      <c r="B8" s="9" t="s">
        <v>6</v>
      </c>
      <c r="C8" s="4"/>
      <c r="D8" s="4"/>
      <c r="E8" s="4"/>
      <c r="F8" s="4"/>
      <c r="G8" s="4"/>
      <c r="H8" s="4"/>
      <c r="I8" s="4"/>
      <c r="J8" s="4"/>
      <c r="K8" s="4"/>
      <c r="L8" s="4"/>
      <c r="M8" s="4"/>
      <c r="N8" s="4"/>
      <c r="O8" s="4"/>
      <c r="P8" s="4"/>
      <c r="Q8" s="4"/>
      <c r="R8" s="4"/>
      <c r="S8" s="4"/>
      <c r="T8" s="4"/>
      <c r="U8" s="4"/>
    </row>
    <row r="9" spans="1:138" ht="15">
      <c r="A9" s="4"/>
      <c r="B9" s="10" t="s">
        <v>7</v>
      </c>
      <c r="C9" s="4"/>
      <c r="D9" s="4"/>
      <c r="E9" s="4"/>
      <c r="F9" s="4"/>
      <c r="G9" s="4"/>
      <c r="H9" s="4"/>
      <c r="I9" s="4"/>
      <c r="J9" s="4"/>
      <c r="K9" s="4"/>
      <c r="L9" s="4"/>
      <c r="M9" s="4"/>
      <c r="N9" s="4"/>
      <c r="O9" s="4"/>
      <c r="P9" s="4"/>
      <c r="Q9" s="4"/>
      <c r="R9" s="4"/>
      <c r="S9" s="4"/>
      <c r="T9" s="4"/>
      <c r="U9" s="4"/>
    </row>
    <row r="10" spans="1:138" ht="15.75">
      <c r="A10" s="11" t="s">
        <v>8</v>
      </c>
      <c r="B10" s="12"/>
      <c r="C10" s="12"/>
      <c r="D10" s="12"/>
      <c r="E10" s="12"/>
      <c r="F10" s="12"/>
      <c r="G10" s="12"/>
      <c r="H10" s="12"/>
      <c r="I10" s="12"/>
      <c r="J10" s="12"/>
      <c r="K10" s="12"/>
      <c r="L10" s="12"/>
      <c r="M10" s="12"/>
      <c r="N10" s="12"/>
      <c r="O10" s="4"/>
      <c r="P10" s="4"/>
      <c r="Q10" s="4"/>
      <c r="R10" s="4"/>
      <c r="S10" s="4"/>
      <c r="T10" s="4"/>
      <c r="U10" s="4"/>
    </row>
    <row r="11" spans="1:138" ht="15">
      <c r="A11" s="4"/>
      <c r="B11" s="4"/>
      <c r="C11" s="4"/>
      <c r="D11" s="4"/>
      <c r="E11" s="4"/>
      <c r="F11" s="4"/>
      <c r="G11" s="4"/>
      <c r="H11" s="4"/>
      <c r="I11" s="4"/>
      <c r="J11" s="4"/>
      <c r="K11" s="4"/>
      <c r="L11" s="4"/>
      <c r="M11" s="4"/>
      <c r="N11" s="4"/>
      <c r="O11" s="4"/>
      <c r="P11" s="4"/>
      <c r="Q11" s="4"/>
      <c r="R11" s="4"/>
      <c r="S11" s="4"/>
      <c r="U11" s="4"/>
    </row>
    <row r="12" spans="1:138">
      <c r="A12" s="13"/>
      <c r="B12" s="14" t="s">
        <v>9</v>
      </c>
      <c r="C12" s="15">
        <v>40911</v>
      </c>
      <c r="D12" s="15">
        <v>40941</v>
      </c>
      <c r="E12" s="15">
        <v>40971</v>
      </c>
      <c r="F12" s="15">
        <v>41001</v>
      </c>
      <c r="G12" s="15">
        <v>41031</v>
      </c>
      <c r="H12" s="15">
        <v>41061</v>
      </c>
      <c r="I12" s="15">
        <v>41091</v>
      </c>
      <c r="J12" s="15">
        <v>41122</v>
      </c>
      <c r="K12" s="15">
        <v>41153</v>
      </c>
      <c r="L12" s="15">
        <v>41184</v>
      </c>
      <c r="M12" s="15">
        <v>41215</v>
      </c>
      <c r="N12" s="15">
        <v>41246</v>
      </c>
      <c r="O12" s="15">
        <v>41277</v>
      </c>
      <c r="P12" s="15">
        <v>41308</v>
      </c>
      <c r="Q12" s="15">
        <v>41339</v>
      </c>
      <c r="R12" s="15">
        <v>41370</v>
      </c>
      <c r="S12" s="15">
        <v>41401</v>
      </c>
      <c r="T12" s="15">
        <v>41432</v>
      </c>
      <c r="U12" s="15">
        <v>41463</v>
      </c>
      <c r="V12" s="15">
        <v>41494</v>
      </c>
      <c r="W12" s="15">
        <v>41525</v>
      </c>
      <c r="X12" s="15">
        <v>41556</v>
      </c>
      <c r="Y12" s="15">
        <v>41587</v>
      </c>
      <c r="Z12" s="15">
        <v>41618</v>
      </c>
      <c r="AA12" s="15">
        <f t="shared" ref="AA12:AX12" si="0">+Z12+31</f>
        <v>41649</v>
      </c>
      <c r="AB12" s="15">
        <f t="shared" si="0"/>
        <v>41680</v>
      </c>
      <c r="AC12" s="15">
        <f t="shared" si="0"/>
        <v>41711</v>
      </c>
      <c r="AD12" s="15">
        <f t="shared" si="0"/>
        <v>41742</v>
      </c>
      <c r="AE12" s="15">
        <f t="shared" si="0"/>
        <v>41773</v>
      </c>
      <c r="AF12" s="15">
        <f t="shared" si="0"/>
        <v>41804</v>
      </c>
      <c r="AG12" s="15">
        <f t="shared" si="0"/>
        <v>41835</v>
      </c>
      <c r="AH12" s="15">
        <f t="shared" si="0"/>
        <v>41866</v>
      </c>
      <c r="AI12" s="15">
        <f t="shared" si="0"/>
        <v>41897</v>
      </c>
      <c r="AJ12" s="15">
        <f t="shared" si="0"/>
        <v>41928</v>
      </c>
      <c r="AK12" s="15">
        <f t="shared" si="0"/>
        <v>41959</v>
      </c>
      <c r="AL12" s="15">
        <f t="shared" si="0"/>
        <v>41990</v>
      </c>
      <c r="AM12" s="15">
        <f t="shared" si="0"/>
        <v>42021</v>
      </c>
      <c r="AN12" s="15">
        <f t="shared" si="0"/>
        <v>42052</v>
      </c>
      <c r="AO12" s="15">
        <f t="shared" si="0"/>
        <v>42083</v>
      </c>
      <c r="AP12" s="15">
        <f t="shared" si="0"/>
        <v>42114</v>
      </c>
      <c r="AQ12" s="15">
        <f t="shared" si="0"/>
        <v>42145</v>
      </c>
      <c r="AR12" s="15">
        <f t="shared" si="0"/>
        <v>42176</v>
      </c>
      <c r="AS12" s="15">
        <f t="shared" si="0"/>
        <v>42207</v>
      </c>
      <c r="AT12" s="15">
        <f t="shared" si="0"/>
        <v>42238</v>
      </c>
      <c r="AU12" s="15">
        <f t="shared" si="0"/>
        <v>42269</v>
      </c>
      <c r="AV12" s="15">
        <f t="shared" si="0"/>
        <v>42300</v>
      </c>
      <c r="AW12" s="15">
        <f t="shared" si="0"/>
        <v>42331</v>
      </c>
      <c r="AX12" s="15">
        <f t="shared" si="0"/>
        <v>42362</v>
      </c>
      <c r="AY12" s="15">
        <f>+AX12+31</f>
        <v>42393</v>
      </c>
      <c r="AZ12" s="15">
        <f>+AY12+31</f>
        <v>42424</v>
      </c>
      <c r="BA12" s="15">
        <f>+AZ12+31</f>
        <v>42455</v>
      </c>
      <c r="BB12" s="15">
        <f t="shared" ref="BB12:BO12" si="1">+BA12+31</f>
        <v>42486</v>
      </c>
      <c r="BC12" s="15">
        <f t="shared" si="1"/>
        <v>42517</v>
      </c>
      <c r="BD12" s="15">
        <f t="shared" si="1"/>
        <v>42548</v>
      </c>
      <c r="BE12" s="15">
        <f t="shared" si="1"/>
        <v>42579</v>
      </c>
      <c r="BF12" s="15">
        <f t="shared" si="1"/>
        <v>42610</v>
      </c>
      <c r="BG12" s="15">
        <f t="shared" si="1"/>
        <v>42641</v>
      </c>
      <c r="BH12" s="15">
        <f t="shared" si="1"/>
        <v>42672</v>
      </c>
      <c r="BI12" s="15">
        <f t="shared" si="1"/>
        <v>42703</v>
      </c>
      <c r="BJ12" s="15">
        <f t="shared" si="1"/>
        <v>42734</v>
      </c>
      <c r="BK12" s="15">
        <f t="shared" si="1"/>
        <v>42765</v>
      </c>
      <c r="BL12" s="15">
        <f>+BK12+28</f>
        <v>42793</v>
      </c>
      <c r="BM12" s="15">
        <f t="shared" si="1"/>
        <v>42824</v>
      </c>
      <c r="BN12" s="15">
        <f t="shared" si="1"/>
        <v>42855</v>
      </c>
      <c r="BO12" s="15">
        <f t="shared" si="1"/>
        <v>42886</v>
      </c>
      <c r="BP12" s="15">
        <f t="shared" ref="BP12:EA12" si="2">+BO12+30</f>
        <v>42916</v>
      </c>
      <c r="BQ12" s="15">
        <f t="shared" si="2"/>
        <v>42946</v>
      </c>
      <c r="BR12" s="15">
        <f t="shared" si="2"/>
        <v>42976</v>
      </c>
      <c r="BS12" s="15">
        <f t="shared" si="2"/>
        <v>43006</v>
      </c>
      <c r="BT12" s="15">
        <f t="shared" si="2"/>
        <v>43036</v>
      </c>
      <c r="BU12" s="15">
        <f t="shared" si="2"/>
        <v>43066</v>
      </c>
      <c r="BV12" s="15">
        <f t="shared" si="2"/>
        <v>43096</v>
      </c>
      <c r="BW12" s="15">
        <f t="shared" si="2"/>
        <v>43126</v>
      </c>
      <c r="BX12" s="15">
        <f t="shared" si="2"/>
        <v>43156</v>
      </c>
      <c r="BY12" s="15">
        <f t="shared" si="2"/>
        <v>43186</v>
      </c>
      <c r="BZ12" s="15">
        <f t="shared" si="2"/>
        <v>43216</v>
      </c>
      <c r="CA12" s="15">
        <f t="shared" si="2"/>
        <v>43246</v>
      </c>
      <c r="CB12" s="15">
        <f t="shared" si="2"/>
        <v>43276</v>
      </c>
      <c r="CC12" s="15">
        <f t="shared" si="2"/>
        <v>43306</v>
      </c>
      <c r="CD12" s="15">
        <f t="shared" si="2"/>
        <v>43336</v>
      </c>
      <c r="CE12" s="15">
        <f t="shared" si="2"/>
        <v>43366</v>
      </c>
      <c r="CF12" s="15">
        <f t="shared" si="2"/>
        <v>43396</v>
      </c>
      <c r="CG12" s="15">
        <f t="shared" si="2"/>
        <v>43426</v>
      </c>
      <c r="CH12" s="15">
        <f t="shared" si="2"/>
        <v>43456</v>
      </c>
      <c r="CI12" s="15">
        <f t="shared" si="2"/>
        <v>43486</v>
      </c>
      <c r="CJ12" s="15">
        <f t="shared" si="2"/>
        <v>43516</v>
      </c>
      <c r="CK12" s="15">
        <f t="shared" si="2"/>
        <v>43546</v>
      </c>
      <c r="CL12" s="15">
        <f t="shared" si="2"/>
        <v>43576</v>
      </c>
      <c r="CM12" s="15">
        <f t="shared" si="2"/>
        <v>43606</v>
      </c>
      <c r="CN12" s="15">
        <f t="shared" si="2"/>
        <v>43636</v>
      </c>
      <c r="CO12" s="15">
        <f t="shared" si="2"/>
        <v>43666</v>
      </c>
      <c r="CP12" s="15">
        <f t="shared" si="2"/>
        <v>43696</v>
      </c>
      <c r="CQ12" s="15">
        <f t="shared" si="2"/>
        <v>43726</v>
      </c>
      <c r="CR12" s="15">
        <f t="shared" si="2"/>
        <v>43756</v>
      </c>
      <c r="CS12" s="15">
        <f t="shared" si="2"/>
        <v>43786</v>
      </c>
      <c r="CT12" s="15">
        <f t="shared" si="2"/>
        <v>43816</v>
      </c>
      <c r="CU12" s="15">
        <f t="shared" si="2"/>
        <v>43846</v>
      </c>
      <c r="CV12" s="15">
        <f t="shared" si="2"/>
        <v>43876</v>
      </c>
      <c r="CW12" s="15">
        <f t="shared" si="2"/>
        <v>43906</v>
      </c>
      <c r="CX12" s="15">
        <f t="shared" si="2"/>
        <v>43936</v>
      </c>
      <c r="CY12" s="15">
        <f t="shared" si="2"/>
        <v>43966</v>
      </c>
      <c r="CZ12" s="15">
        <f t="shared" si="2"/>
        <v>43996</v>
      </c>
      <c r="DA12" s="15">
        <f t="shared" si="2"/>
        <v>44026</v>
      </c>
      <c r="DB12" s="15">
        <f t="shared" si="2"/>
        <v>44056</v>
      </c>
      <c r="DC12" s="15">
        <f t="shared" si="2"/>
        <v>44086</v>
      </c>
      <c r="DD12" s="15">
        <f t="shared" si="2"/>
        <v>44116</v>
      </c>
      <c r="DE12" s="15">
        <f t="shared" si="2"/>
        <v>44146</v>
      </c>
      <c r="DF12" s="15">
        <f t="shared" si="2"/>
        <v>44176</v>
      </c>
      <c r="DG12" s="15">
        <f t="shared" si="2"/>
        <v>44206</v>
      </c>
      <c r="DH12" s="15">
        <f t="shared" si="2"/>
        <v>44236</v>
      </c>
      <c r="DI12" s="15">
        <f t="shared" si="2"/>
        <v>44266</v>
      </c>
      <c r="DJ12" s="15">
        <f t="shared" si="2"/>
        <v>44296</v>
      </c>
      <c r="DK12" s="15">
        <f t="shared" si="2"/>
        <v>44326</v>
      </c>
      <c r="DL12" s="15">
        <f t="shared" si="2"/>
        <v>44356</v>
      </c>
      <c r="DM12" s="15">
        <f t="shared" si="2"/>
        <v>44386</v>
      </c>
      <c r="DN12" s="15">
        <f t="shared" si="2"/>
        <v>44416</v>
      </c>
      <c r="DO12" s="15">
        <f t="shared" si="2"/>
        <v>44446</v>
      </c>
      <c r="DP12" s="15">
        <f t="shared" si="2"/>
        <v>44476</v>
      </c>
      <c r="DQ12" s="15">
        <f t="shared" si="2"/>
        <v>44506</v>
      </c>
      <c r="DR12" s="15">
        <f t="shared" si="2"/>
        <v>44536</v>
      </c>
      <c r="DS12" s="15">
        <f t="shared" si="2"/>
        <v>44566</v>
      </c>
      <c r="DT12" s="15">
        <f t="shared" si="2"/>
        <v>44596</v>
      </c>
      <c r="DU12" s="15">
        <f t="shared" si="2"/>
        <v>44626</v>
      </c>
      <c r="DV12" s="15">
        <f t="shared" si="2"/>
        <v>44656</v>
      </c>
      <c r="DW12" s="15">
        <f t="shared" si="2"/>
        <v>44686</v>
      </c>
      <c r="DX12" s="15">
        <f t="shared" si="2"/>
        <v>44716</v>
      </c>
      <c r="DY12" s="15">
        <f t="shared" si="2"/>
        <v>44746</v>
      </c>
      <c r="DZ12" s="15">
        <f t="shared" si="2"/>
        <v>44776</v>
      </c>
      <c r="EA12" s="15">
        <f t="shared" si="2"/>
        <v>44806</v>
      </c>
      <c r="EB12" s="15">
        <f t="shared" ref="EB12:ED12" si="3">+EA12+30</f>
        <v>44836</v>
      </c>
      <c r="EC12" s="15">
        <f t="shared" si="3"/>
        <v>44866</v>
      </c>
      <c r="ED12" s="15">
        <f t="shared" si="3"/>
        <v>44896</v>
      </c>
    </row>
    <row r="14" spans="1:138">
      <c r="A14" s="16">
        <v>224</v>
      </c>
      <c r="B14" s="2" t="s">
        <v>10</v>
      </c>
      <c r="C14" s="17">
        <v>223400</v>
      </c>
      <c r="D14" s="17">
        <v>223400</v>
      </c>
      <c r="E14" s="17">
        <v>223400</v>
      </c>
      <c r="F14" s="17">
        <v>223400</v>
      </c>
      <c r="G14" s="17">
        <v>223400</v>
      </c>
      <c r="H14" s="17">
        <v>254434.08</v>
      </c>
      <c r="I14" s="17">
        <v>251034.08</v>
      </c>
      <c r="J14" s="17">
        <v>206764.68</v>
      </c>
      <c r="K14" s="17">
        <v>231764.68</v>
      </c>
      <c r="L14" s="17">
        <v>231764.68</v>
      </c>
      <c r="M14" s="17">
        <v>231764.68</v>
      </c>
      <c r="N14" s="17">
        <v>231764.68</v>
      </c>
      <c r="O14" s="17">
        <v>231764.68</v>
      </c>
      <c r="P14" s="17">
        <v>231764.68</v>
      </c>
      <c r="Q14" s="17">
        <v>231764.68</v>
      </c>
      <c r="R14" s="17">
        <v>231764.68</v>
      </c>
      <c r="S14" s="17">
        <v>231764.68</v>
      </c>
      <c r="T14" s="17">
        <v>231764.68</v>
      </c>
      <c r="U14" s="17">
        <v>231764.68</v>
      </c>
      <c r="V14" s="17">
        <v>231764.68</v>
      </c>
      <c r="W14" s="17">
        <v>231764.68</v>
      </c>
      <c r="X14" s="17">
        <v>231764.68</v>
      </c>
      <c r="Y14" s="17">
        <v>231764.68</v>
      </c>
      <c r="Z14" s="17">
        <v>231764.68</v>
      </c>
      <c r="AA14" s="17">
        <v>231764.68</v>
      </c>
      <c r="AB14" s="17">
        <v>231764.68</v>
      </c>
      <c r="AC14" s="17">
        <v>231764.68</v>
      </c>
      <c r="AD14" s="17">
        <v>231764.68</v>
      </c>
      <c r="AE14" s="17">
        <v>241764.68</v>
      </c>
      <c r="AF14" s="17">
        <v>241764.68</v>
      </c>
      <c r="AG14" s="17">
        <v>241764.68</v>
      </c>
      <c r="AH14" s="17">
        <v>241764.68</v>
      </c>
      <c r="AI14" s="17">
        <v>241764.68</v>
      </c>
      <c r="AJ14" s="17">
        <v>241764.68</v>
      </c>
      <c r="AK14" s="17">
        <v>241764.68</v>
      </c>
      <c r="AL14" s="17">
        <v>241764.68</v>
      </c>
      <c r="AM14" s="17">
        <v>241764.68</v>
      </c>
      <c r="AN14" s="17">
        <v>241764.68</v>
      </c>
      <c r="AO14" s="17">
        <v>241764.68</v>
      </c>
      <c r="AP14" s="17">
        <v>241764.68</v>
      </c>
      <c r="AQ14" s="17">
        <v>261764.68</v>
      </c>
      <c r="AR14" s="17">
        <v>261764.68</v>
      </c>
      <c r="AS14" s="17">
        <v>261764.68</v>
      </c>
      <c r="AT14" s="17">
        <v>261764.68</v>
      </c>
      <c r="AU14" s="17">
        <v>261764.68</v>
      </c>
      <c r="AV14" s="17">
        <v>261764.68</v>
      </c>
      <c r="AW14" s="17">
        <v>261764.68</v>
      </c>
      <c r="AX14" s="18">
        <v>261764.68</v>
      </c>
      <c r="AY14" s="18">
        <v>261764.68</v>
      </c>
      <c r="AZ14" s="18">
        <v>261764.68</v>
      </c>
      <c r="BA14" s="18">
        <v>261764.68</v>
      </c>
      <c r="BB14" s="18">
        <v>261764.68</v>
      </c>
      <c r="BC14" s="18">
        <v>261764.68</v>
      </c>
      <c r="BD14" s="18">
        <v>261764.68</v>
      </c>
      <c r="BE14" s="18">
        <v>261764.68</v>
      </c>
      <c r="BF14" s="18">
        <v>261764.68</v>
      </c>
      <c r="BG14" s="18">
        <v>261764.68</v>
      </c>
      <c r="BH14" s="18">
        <v>261764.68</v>
      </c>
      <c r="BI14" s="18">
        <v>261764.68</v>
      </c>
      <c r="BJ14" s="18">
        <v>261764.68</v>
      </c>
      <c r="BK14" s="18">
        <v>261764.68</v>
      </c>
      <c r="BL14" s="18">
        <v>261764.68</v>
      </c>
      <c r="BM14" s="18">
        <v>261764.68</v>
      </c>
      <c r="BN14" s="18">
        <v>261764.68</v>
      </c>
      <c r="BO14" s="18">
        <v>261764.68</v>
      </c>
      <c r="BP14" s="18">
        <v>261764.68</v>
      </c>
      <c r="BQ14" s="18">
        <v>261764.68</v>
      </c>
      <c r="BR14" s="18">
        <v>261764.68</v>
      </c>
      <c r="BS14" s="18">
        <v>261764.68</v>
      </c>
      <c r="BT14" s="18">
        <v>261764.68</v>
      </c>
      <c r="BU14" s="18">
        <v>261764.68</v>
      </c>
      <c r="BV14" s="18">
        <v>261764.68</v>
      </c>
      <c r="BW14" s="18">
        <v>261764.68</v>
      </c>
      <c r="BX14" s="18">
        <v>261764.68</v>
      </c>
      <c r="BY14" s="18">
        <v>261764.68</v>
      </c>
      <c r="BZ14" s="18">
        <v>261764.68</v>
      </c>
      <c r="CA14" s="18">
        <v>211764.68</v>
      </c>
      <c r="CB14" s="18">
        <v>286764.68</v>
      </c>
      <c r="CC14" s="18">
        <v>286764.68</v>
      </c>
      <c r="CD14" s="18">
        <v>286764.68</v>
      </c>
      <c r="CE14" s="18">
        <v>286764.68</v>
      </c>
      <c r="CF14" s="18">
        <v>311764.68</v>
      </c>
      <c r="CG14" s="18">
        <v>311764.68</v>
      </c>
      <c r="CH14" s="18">
        <v>311764.68</v>
      </c>
      <c r="CI14" s="18">
        <v>311764.68</v>
      </c>
      <c r="CJ14" s="18">
        <v>311764.68</v>
      </c>
      <c r="CK14" s="18">
        <v>311764.68</v>
      </c>
      <c r="CL14" s="18">
        <v>311764.68</v>
      </c>
      <c r="CM14" s="18">
        <v>311764.68</v>
      </c>
      <c r="CN14" s="18">
        <v>311764.68</v>
      </c>
      <c r="CO14" s="18">
        <v>336764.68</v>
      </c>
      <c r="CP14" s="18">
        <v>336764.68</v>
      </c>
      <c r="CQ14" s="18">
        <v>336764.68</v>
      </c>
      <c r="CR14" s="18">
        <v>336764.68</v>
      </c>
      <c r="CS14" s="18">
        <v>336764.68</v>
      </c>
      <c r="CT14" s="18">
        <v>336764.68</v>
      </c>
      <c r="CU14" s="18">
        <v>336764.68</v>
      </c>
      <c r="CV14" s="18">
        <v>336764.68</v>
      </c>
      <c r="CW14" s="18">
        <v>336764.68</v>
      </c>
      <c r="CX14" s="18">
        <v>336764.68</v>
      </c>
      <c r="CY14" s="18">
        <v>336764.68</v>
      </c>
      <c r="CZ14" s="18">
        <v>336764.68</v>
      </c>
      <c r="DA14" s="18">
        <v>336764.68</v>
      </c>
      <c r="DB14" s="18">
        <v>336764.68</v>
      </c>
      <c r="DC14" s="18">
        <v>336764.68</v>
      </c>
      <c r="DD14" s="18">
        <v>336764.68</v>
      </c>
      <c r="DE14" s="18">
        <v>336764.68</v>
      </c>
      <c r="DF14" s="18">
        <v>336764.68</v>
      </c>
      <c r="DG14" s="18">
        <v>336764.68</v>
      </c>
      <c r="DH14" s="18">
        <v>336764.68</v>
      </c>
      <c r="DI14" s="18">
        <v>566764.68000000005</v>
      </c>
      <c r="DJ14" s="18">
        <v>566764.68000000005</v>
      </c>
      <c r="DK14" s="18">
        <v>520000</v>
      </c>
      <c r="DL14" s="18">
        <v>520000</v>
      </c>
      <c r="DM14" s="18">
        <f>'[1]Bal Sheet'!EN66</f>
        <v>520000</v>
      </c>
      <c r="DN14" s="18">
        <f>'[1]Bal Sheet'!EO66</f>
        <v>520000</v>
      </c>
      <c r="DO14" s="18">
        <f>'[1]Bal Sheet'!EP66</f>
        <v>520000</v>
      </c>
      <c r="DP14" s="18">
        <f>'[1]Bal Sheet'!EQ66</f>
        <v>520000</v>
      </c>
      <c r="DQ14" s="18">
        <f>'[1]Bal Sheet'!ER66</f>
        <v>520000</v>
      </c>
      <c r="DR14" s="18">
        <f>'[1]Bal Sheet'!ES66</f>
        <v>520000</v>
      </c>
      <c r="DS14" s="18">
        <f>'[1]Bal Sheet'!ET66</f>
        <v>520000</v>
      </c>
      <c r="DT14" s="18">
        <f>'[1]Bal Sheet'!EU66</f>
        <v>520000</v>
      </c>
      <c r="DU14" s="18">
        <f>'[1]Bal Sheet'!EV66</f>
        <v>520000</v>
      </c>
      <c r="DV14" s="18">
        <f>'[1]Bal Sheet'!EW66</f>
        <v>520000</v>
      </c>
      <c r="DW14" s="18">
        <f>'[1]Bal Sheet'!EX66</f>
        <v>520000</v>
      </c>
      <c r="DX14" s="18">
        <f>'[1]Bal Sheet'!EY66</f>
        <v>520000</v>
      </c>
      <c r="DY14" s="18">
        <f>'[1]Bal Sheet'!EZ66</f>
        <v>595000</v>
      </c>
      <c r="DZ14" s="18">
        <f>'[1]Bal Sheet'!FA66</f>
        <v>595000</v>
      </c>
      <c r="EA14" s="18">
        <f>'[1]Bal Sheet'!FB66</f>
        <v>570000</v>
      </c>
      <c r="EB14" s="18">
        <f>'[1]Bal Sheet'!FC66</f>
        <v>570000</v>
      </c>
      <c r="EC14" s="18">
        <f>'[1]Bal Sheet'!FD66</f>
        <v>570000</v>
      </c>
      <c r="ED14" s="18">
        <f>'[1]Bal Sheet'!FE66</f>
        <v>570000</v>
      </c>
      <c r="EH14" s="19"/>
    </row>
    <row r="15" spans="1:138">
      <c r="A15" s="16">
        <v>226</v>
      </c>
      <c r="B15" s="2" t="s">
        <v>11</v>
      </c>
      <c r="C15" s="20">
        <v>-322</v>
      </c>
      <c r="D15" s="20">
        <v>-315</v>
      </c>
      <c r="E15" s="20">
        <v>-308</v>
      </c>
      <c r="F15" s="20">
        <v>-301</v>
      </c>
      <c r="G15" s="20">
        <v>-294</v>
      </c>
      <c r="H15" s="20">
        <v>-424.66644000000008</v>
      </c>
      <c r="I15" s="20">
        <v>-418.65434000000005</v>
      </c>
      <c r="J15" s="20">
        <v>-417.32601</v>
      </c>
      <c r="K15" s="20">
        <v>-446.49768</v>
      </c>
      <c r="L15" s="20">
        <v>-444.91518000000002</v>
      </c>
      <c r="M15" s="20">
        <v>-443.33267999999998</v>
      </c>
      <c r="N15" s="20">
        <v>-441.75018</v>
      </c>
      <c r="O15" s="20">
        <v>-440.16768000000002</v>
      </c>
      <c r="P15" s="20">
        <v>-438.58517999999998</v>
      </c>
      <c r="Q15" s="20">
        <v>-437.00268</v>
      </c>
      <c r="R15" s="20">
        <v>-435.42018000000002</v>
      </c>
      <c r="S15" s="20">
        <v>-433.83767999999998</v>
      </c>
      <c r="T15" s="20">
        <v>-432.25518</v>
      </c>
      <c r="U15" s="20">
        <v>-430.67268000000001</v>
      </c>
      <c r="V15" s="20">
        <v>-429.09017999999998</v>
      </c>
      <c r="W15" s="20">
        <v>-427.50767999999999</v>
      </c>
      <c r="X15" s="20">
        <v>-425.92518000000001</v>
      </c>
      <c r="Y15" s="20">
        <v>-424.34267999999997</v>
      </c>
      <c r="Z15" s="20">
        <v>-422.76017999999999</v>
      </c>
      <c r="AA15" s="20">
        <v>-421.17768000000001</v>
      </c>
      <c r="AB15" s="20">
        <v>-419.59517999999997</v>
      </c>
      <c r="AC15" s="20">
        <v>-418.01267999999999</v>
      </c>
      <c r="AD15" s="20">
        <v>-416.43018000000001</v>
      </c>
      <c r="AE15" s="20">
        <v>-421.54768000000001</v>
      </c>
      <c r="AF15" s="20">
        <v>-419.93726000000004</v>
      </c>
      <c r="AG15" s="20">
        <v>-418.33615000000003</v>
      </c>
      <c r="AH15" s="20">
        <v>-416.73503999999997</v>
      </c>
      <c r="AI15" s="20">
        <v>-415.13393000000002</v>
      </c>
      <c r="AJ15" s="20">
        <v>-413.53282000000002</v>
      </c>
      <c r="AK15" s="20">
        <v>-411.93171000000001</v>
      </c>
      <c r="AL15" s="20">
        <v>-410.3306</v>
      </c>
      <c r="AM15" s="20">
        <v>-408.72949</v>
      </c>
      <c r="AN15" s="20">
        <v>-407.12837999999999</v>
      </c>
      <c r="AO15" s="20">
        <v>-405.52727000000004</v>
      </c>
      <c r="AP15" s="20">
        <v>-403.92615999999998</v>
      </c>
      <c r="AQ15" s="20">
        <v>-439.52504999999996</v>
      </c>
      <c r="AR15" s="20">
        <v>-437.81940999999995</v>
      </c>
      <c r="AS15" s="20">
        <v>-436.11496999999997</v>
      </c>
      <c r="AT15" s="20">
        <v>-434.41053000000005</v>
      </c>
      <c r="AU15" s="20">
        <v>-432.70609000000002</v>
      </c>
      <c r="AV15" s="20">
        <v>-431.00165000000004</v>
      </c>
      <c r="AW15" s="20">
        <v>-429.29721000000001</v>
      </c>
      <c r="AX15" s="21">
        <v>-427.59277000000003</v>
      </c>
      <c r="AY15" s="21">
        <v>-425.88833</v>
      </c>
      <c r="AZ15" s="21">
        <v>-424.18389000000002</v>
      </c>
      <c r="BA15" s="21">
        <v>-422.47944999999999</v>
      </c>
      <c r="BB15" s="21">
        <v>-420.77501000000001</v>
      </c>
      <c r="BC15" s="21">
        <v>-419.07057000000003</v>
      </c>
      <c r="BD15" s="21">
        <v>-417.36613</v>
      </c>
      <c r="BE15" s="21">
        <v>-415.66169000000002</v>
      </c>
      <c r="BF15" s="21">
        <v>-413.95724999999999</v>
      </c>
      <c r="BG15" s="21">
        <v>-412.25281000000001</v>
      </c>
      <c r="BH15" s="21">
        <v>-410.54836999999998</v>
      </c>
      <c r="BI15" s="21">
        <v>-408.84393</v>
      </c>
      <c r="BJ15" s="21">
        <v>-407.13948999999997</v>
      </c>
      <c r="BK15" s="21">
        <v>-405.43504999999999</v>
      </c>
      <c r="BL15" s="21">
        <v>-403.73061000000001</v>
      </c>
      <c r="BM15" s="21">
        <v>-402.02616999999998</v>
      </c>
      <c r="BN15" s="21">
        <v>-400.32173</v>
      </c>
      <c r="BO15" s="21">
        <v>-398.61728999999997</v>
      </c>
      <c r="BP15" s="21">
        <v>-396.91284999999999</v>
      </c>
      <c r="BQ15" s="21">
        <v>-395.20840999999996</v>
      </c>
      <c r="BR15" s="21">
        <v>-393.50396999999998</v>
      </c>
      <c r="BS15" s="21">
        <v>-391.79953</v>
      </c>
      <c r="BT15" s="21">
        <v>-390.09509000000003</v>
      </c>
      <c r="BU15" s="21">
        <v>-388.39065000000005</v>
      </c>
      <c r="BV15" s="21">
        <v>-386.68621000000002</v>
      </c>
      <c r="BW15" s="21">
        <v>-384.98177000000004</v>
      </c>
      <c r="BX15" s="21">
        <v>-383.27733000000001</v>
      </c>
      <c r="BY15" s="21">
        <v>-381.57289000000003</v>
      </c>
      <c r="BZ15" s="21">
        <v>-379.86845</v>
      </c>
      <c r="CA15" s="21">
        <v>-378.16401000000002</v>
      </c>
      <c r="CB15" s="21">
        <v>-571.30250999999998</v>
      </c>
      <c r="CC15" s="21">
        <v>-774.52298999999994</v>
      </c>
      <c r="CD15" s="21">
        <v>-771.70187999999996</v>
      </c>
      <c r="CE15" s="21">
        <v>-768.88076999999998</v>
      </c>
      <c r="CF15" s="21">
        <v>-893.46370999999999</v>
      </c>
      <c r="CG15" s="21">
        <v>-890.29544999999996</v>
      </c>
      <c r="CH15" s="21">
        <v>-887.12718999999993</v>
      </c>
      <c r="CI15" s="21">
        <v>-883.95893000000001</v>
      </c>
      <c r="CJ15" s="21">
        <v>-880.79067000000009</v>
      </c>
      <c r="CK15" s="21">
        <v>-877.62241000000006</v>
      </c>
      <c r="CL15" s="21">
        <v>-874.45415000000003</v>
      </c>
      <c r="CM15" s="21">
        <v>-871.28588999999999</v>
      </c>
      <c r="CN15" s="21">
        <v>-868.11762999999996</v>
      </c>
      <c r="CO15" s="21">
        <v>-1171.44937</v>
      </c>
      <c r="CP15" s="21">
        <v>-1167.4566100000002</v>
      </c>
      <c r="CQ15" s="21">
        <v>-1163.4621999999999</v>
      </c>
      <c r="CR15" s="21">
        <v>-1159.4677900000002</v>
      </c>
      <c r="CS15" s="21">
        <v>-1155.4733799999999</v>
      </c>
      <c r="CT15" s="21">
        <v>-1151.4789699999999</v>
      </c>
      <c r="CU15" s="21">
        <v>-1147.4845600000001</v>
      </c>
      <c r="CV15" s="21">
        <v>-1143.4901499999999</v>
      </c>
      <c r="CW15" s="21">
        <v>-1139.4957400000001</v>
      </c>
      <c r="CX15" s="21">
        <v>-1135.5013300000001</v>
      </c>
      <c r="CY15" s="21">
        <v>-1131.50692</v>
      </c>
      <c r="CZ15" s="21">
        <v>-1127.51251</v>
      </c>
      <c r="DA15" s="21">
        <v>-1123.5181</v>
      </c>
      <c r="DB15" s="21">
        <v>-1119.52369</v>
      </c>
      <c r="DC15" s="21">
        <v>-1115.52928</v>
      </c>
      <c r="DD15" s="21">
        <v>-1111.5348700000002</v>
      </c>
      <c r="DE15" s="21">
        <v>-1107.5404599999999</v>
      </c>
      <c r="DF15" s="21">
        <v>-1103.5460500000002</v>
      </c>
      <c r="DG15" s="21">
        <v>-1099.5516399999999</v>
      </c>
      <c r="DH15" s="21">
        <v>-1095.5572299999999</v>
      </c>
      <c r="DI15" s="21">
        <v>-1719.07629</v>
      </c>
      <c r="DJ15" s="21">
        <v>-1711.4238500000001</v>
      </c>
      <c r="DK15" s="21">
        <v>-1703.5929099999998</v>
      </c>
      <c r="DL15" s="21">
        <v>-1695.76197</v>
      </c>
      <c r="DM15" s="21">
        <f>'[1]Bal Sheet'!EN68</f>
        <v>-1687.93103</v>
      </c>
      <c r="DN15" s="21">
        <f>'[1]Bal Sheet'!EO68</f>
        <v>-1680.1000900000001</v>
      </c>
      <c r="DO15" s="21">
        <f>'[1]Bal Sheet'!EP68</f>
        <v>-1672.2691499999999</v>
      </c>
      <c r="DP15" s="21">
        <f>'[1]Bal Sheet'!EQ68</f>
        <v>-1664.43821</v>
      </c>
      <c r="DQ15" s="21">
        <f>'[1]Bal Sheet'!ER68</f>
        <v>-1656.60727</v>
      </c>
      <c r="DR15" s="21">
        <f>'[1]Bal Sheet'!ES68</f>
        <v>-1648.7763300000001</v>
      </c>
      <c r="DS15" s="21">
        <f>'[1]Bal Sheet'!ET68</f>
        <v>-1640.9453899999999</v>
      </c>
      <c r="DT15" s="21">
        <f>'[1]Bal Sheet'!EU68</f>
        <v>-1633.11445</v>
      </c>
      <c r="DU15" s="21">
        <f>'[1]Bal Sheet'!EV68</f>
        <v>-1625.28351</v>
      </c>
      <c r="DV15" s="21">
        <f>'[1]Bal Sheet'!EW68</f>
        <v>-1617.4525700000002</v>
      </c>
      <c r="DW15" s="21">
        <f>'[1]Bal Sheet'!EX68</f>
        <v>-1609.6216299999999</v>
      </c>
      <c r="DX15" s="21">
        <f>'[1]Bal Sheet'!EY68</f>
        <v>-1601.79069</v>
      </c>
      <c r="DY15" s="21">
        <f>'[1]Bal Sheet'!EZ68</f>
        <v>-1654.0476999999998</v>
      </c>
      <c r="DZ15" s="21">
        <f>'[1]Bal Sheet'!FA68</f>
        <v>-1645.4918300000002</v>
      </c>
      <c r="EA15" s="21">
        <f>'[1]Bal Sheet'!FB68</f>
        <v>-1636.93596</v>
      </c>
      <c r="EB15" s="21">
        <f>'[1]Bal Sheet'!FC68</f>
        <v>-1628.63426</v>
      </c>
      <c r="EC15" s="21">
        <f>'[1]Bal Sheet'!FD68</f>
        <v>-1620.3325600000001</v>
      </c>
      <c r="ED15" s="21">
        <f>'[1]Bal Sheet'!FE68</f>
        <v>-1612.0308600000001</v>
      </c>
    </row>
    <row r="16" spans="1:138">
      <c r="A16" s="16" t="s">
        <v>12</v>
      </c>
      <c r="B16" s="2" t="s">
        <v>13</v>
      </c>
      <c r="C16" s="20">
        <v>-995</v>
      </c>
      <c r="D16" s="20">
        <v>-918</v>
      </c>
      <c r="E16" s="20">
        <v>-842</v>
      </c>
      <c r="F16" s="20">
        <v>-765</v>
      </c>
      <c r="G16" s="20">
        <v>-689</v>
      </c>
      <c r="H16" s="20">
        <v>-1092.07682</v>
      </c>
      <c r="I16" s="20">
        <v>-1020.6470899999999</v>
      </c>
      <c r="J16" s="20">
        <v>-990.46615999999995</v>
      </c>
      <c r="K16" s="20">
        <v>-1168.9336000000001</v>
      </c>
      <c r="L16" s="20">
        <v>-1186.8225199999999</v>
      </c>
      <c r="M16" s="20">
        <v>-1179.68469</v>
      </c>
      <c r="N16" s="20">
        <v>-1179.82277</v>
      </c>
      <c r="O16" s="20">
        <v>-1172.58357</v>
      </c>
      <c r="P16" s="20">
        <v>-1165.4093400000002</v>
      </c>
      <c r="Q16" s="20">
        <v>-1158.2351100000001</v>
      </c>
      <c r="R16" s="20">
        <v>-1151.06088</v>
      </c>
      <c r="S16" s="20">
        <v>-1143.8866499999999</v>
      </c>
      <c r="T16" s="20">
        <v>-1136.7124199999998</v>
      </c>
      <c r="U16" s="20">
        <v>-1130.1549399999999</v>
      </c>
      <c r="V16" s="20">
        <v>-1122.9566599999998</v>
      </c>
      <c r="W16" s="20">
        <v>-1116.1136999999999</v>
      </c>
      <c r="X16" s="20">
        <v>-1108.9346599999999</v>
      </c>
      <c r="Y16" s="20">
        <v>-1101.7556200000001</v>
      </c>
      <c r="Z16" s="20">
        <v>-1094.5765800000001</v>
      </c>
      <c r="AA16" s="20">
        <v>-1087.3975399999999</v>
      </c>
      <c r="AB16" s="20">
        <v>-1080.2184999999999</v>
      </c>
      <c r="AC16" s="20">
        <v>-1073.03946</v>
      </c>
      <c r="AD16" s="20">
        <v>-1065.86042</v>
      </c>
      <c r="AE16" s="20">
        <v>-1151.4688799999999</v>
      </c>
      <c r="AF16" s="20">
        <v>-1146.2596899999999</v>
      </c>
      <c r="AG16" s="20">
        <v>-1141.3574199999998</v>
      </c>
      <c r="AH16" s="20">
        <v>-1134.10501</v>
      </c>
      <c r="AI16" s="20">
        <v>-1136.8983899999998</v>
      </c>
      <c r="AJ16" s="20">
        <v>-1129.58024</v>
      </c>
      <c r="AK16" s="20">
        <v>-1122.0975100000001</v>
      </c>
      <c r="AL16" s="20">
        <v>-1114.6147800000001</v>
      </c>
      <c r="AM16" s="20">
        <v>-1107.1320499999999</v>
      </c>
      <c r="AN16" s="20">
        <v>-1099.64932</v>
      </c>
      <c r="AO16" s="20">
        <v>-1092.16659</v>
      </c>
      <c r="AP16" s="20">
        <v>-1084.6838600000001</v>
      </c>
      <c r="AQ16" s="20">
        <v>-1266.2268100000001</v>
      </c>
      <c r="AR16" s="20">
        <v>-1277.9586899999999</v>
      </c>
      <c r="AS16" s="20">
        <v>-1271.07864</v>
      </c>
      <c r="AT16" s="20">
        <v>-1263.0125500000001</v>
      </c>
      <c r="AU16" s="20">
        <v>-1264.8353400000001</v>
      </c>
      <c r="AV16" s="20">
        <v>-1256.7414699999999</v>
      </c>
      <c r="AW16" s="20">
        <v>-1248.64831</v>
      </c>
      <c r="AX16" s="21">
        <v>-1240.5544399999999</v>
      </c>
      <c r="AY16" s="21">
        <v>-1232.46057</v>
      </c>
      <c r="AZ16" s="21">
        <v>-1224.3667</v>
      </c>
      <c r="BA16" s="21">
        <v>-1216.2728300000001</v>
      </c>
      <c r="BB16" s="21">
        <v>-1208.17896</v>
      </c>
      <c r="BC16" s="21">
        <v>-1200.08509</v>
      </c>
      <c r="BD16" s="21">
        <v>-1191.9912199999999</v>
      </c>
      <c r="BE16" s="21">
        <v>-1183.8973500000002</v>
      </c>
      <c r="BF16" s="21">
        <v>-1175.80348</v>
      </c>
      <c r="BG16" s="21">
        <v>-1167.7096100000001</v>
      </c>
      <c r="BH16" s="21">
        <v>-1159.61574</v>
      </c>
      <c r="BI16" s="21">
        <v>-1151.52187</v>
      </c>
      <c r="BJ16" s="21">
        <v>-1143.4280000000001</v>
      </c>
      <c r="BK16" s="21">
        <v>-1135.33413</v>
      </c>
      <c r="BL16" s="21">
        <v>-1127.24026</v>
      </c>
      <c r="BM16" s="21">
        <v>-1119.1463899999999</v>
      </c>
      <c r="BN16" s="21">
        <v>-1111.05252</v>
      </c>
      <c r="BO16" s="21">
        <v>-1102.9586499999998</v>
      </c>
      <c r="BP16" s="21">
        <v>-1094.8647800000001</v>
      </c>
      <c r="BQ16" s="21">
        <v>-1086.77091</v>
      </c>
      <c r="BR16" s="21">
        <v>-1078.67704</v>
      </c>
      <c r="BS16" s="21">
        <v>-1070.5831699999999</v>
      </c>
      <c r="BT16" s="21">
        <v>-1062.4893</v>
      </c>
      <c r="BU16" s="21">
        <v>-1054.39543</v>
      </c>
      <c r="BV16" s="21">
        <v>-1046.3015600000001</v>
      </c>
      <c r="BW16" s="21">
        <v>-1038.20769</v>
      </c>
      <c r="BX16" s="21">
        <v>-1030.11382</v>
      </c>
      <c r="BY16" s="21">
        <v>-1067.87933</v>
      </c>
      <c r="BZ16" s="21">
        <v>-1053.2341200000001</v>
      </c>
      <c r="CA16" s="21">
        <v>-1040.1659300000001</v>
      </c>
      <c r="CB16" s="21">
        <v>-1785.06277</v>
      </c>
      <c r="CC16" s="21">
        <v>-1787.67147</v>
      </c>
      <c r="CD16" s="21">
        <v>-1779.1369099999999</v>
      </c>
      <c r="CE16" s="21">
        <v>-1807.0138899999999</v>
      </c>
      <c r="CF16" s="21">
        <v>-2037.07448</v>
      </c>
      <c r="CG16" s="21">
        <v>-2030.6094499999999</v>
      </c>
      <c r="CH16" s="21">
        <v>-2027.97783</v>
      </c>
      <c r="CI16" s="21">
        <v>-2020.07215</v>
      </c>
      <c r="CJ16" s="21">
        <v>-2012.1834799999999</v>
      </c>
      <c r="CK16" s="21">
        <v>-2018.04828</v>
      </c>
      <c r="CL16" s="21">
        <v>-2010.10456</v>
      </c>
      <c r="CM16" s="21">
        <v>-2002.16084</v>
      </c>
      <c r="CN16" s="21">
        <v>-1994.21712</v>
      </c>
      <c r="CO16" s="21">
        <v>-2205.5789</v>
      </c>
      <c r="CP16" s="21">
        <v>-2242.15967</v>
      </c>
      <c r="CQ16" s="21">
        <v>-2244.4437000000003</v>
      </c>
      <c r="CR16" s="21">
        <v>-2235.7572300000002</v>
      </c>
      <c r="CS16" s="21">
        <v>-2227.0707599999996</v>
      </c>
      <c r="CT16" s="21">
        <v>-2233.0608900000002</v>
      </c>
      <c r="CU16" s="21">
        <v>-2224.3343199999999</v>
      </c>
      <c r="CV16" s="21">
        <v>-2226.9272999999998</v>
      </c>
      <c r="CW16" s="21">
        <v>-2222.0164199999999</v>
      </c>
      <c r="CX16" s="21">
        <v>-2211.8215099999998</v>
      </c>
      <c r="CY16" s="21">
        <v>-2201.6266000000001</v>
      </c>
      <c r="CZ16" s="21">
        <v>-2191.4316899999999</v>
      </c>
      <c r="DA16" s="21">
        <v>-2181.2367799999997</v>
      </c>
      <c r="DB16" s="21">
        <v>-2171.04187</v>
      </c>
      <c r="DC16" s="21">
        <v>-2160.8469599999999</v>
      </c>
      <c r="DD16" s="21">
        <v>-2150.6520499999997</v>
      </c>
      <c r="DE16" s="21">
        <v>-2140.45714</v>
      </c>
      <c r="DF16" s="21">
        <v>-2130.2622299999998</v>
      </c>
      <c r="DG16" s="21">
        <v>-2126.6312200000002</v>
      </c>
      <c r="DH16" s="21">
        <v>-2115.7154100000002</v>
      </c>
      <c r="DI16" s="21">
        <v>-3962.9508900000001</v>
      </c>
      <c r="DJ16" s="21">
        <v>-4083.4283599999999</v>
      </c>
      <c r="DK16" s="21">
        <v>-4214.9540700000007</v>
      </c>
      <c r="DL16" s="21">
        <v>-4360.24496</v>
      </c>
      <c r="DM16" s="21">
        <f>-'[1]Bal Sheet'!EN44</f>
        <v>-4339.27621</v>
      </c>
      <c r="DN16" s="21">
        <f>-'[1]Bal Sheet'!EO44</f>
        <v>-4318.30746</v>
      </c>
      <c r="DO16" s="21">
        <f>-'[1]Bal Sheet'!EP44</f>
        <v>-4297.33871</v>
      </c>
      <c r="DP16" s="21">
        <f>-'[1]Bal Sheet'!EQ44</f>
        <v>-4276.36996</v>
      </c>
      <c r="DQ16" s="21">
        <f>-'[1]Bal Sheet'!ER44</f>
        <v>-4255.40121</v>
      </c>
      <c r="DR16" s="21">
        <f>-'[1]Bal Sheet'!ES44</f>
        <v>-4248.9452799999999</v>
      </c>
      <c r="DS16" s="21">
        <f>-'[1]Bal Sheet'!ET44</f>
        <v>-4226.5231299999996</v>
      </c>
      <c r="DT16" s="21">
        <f>-'[1]Bal Sheet'!EU44</f>
        <v>-4204.3671599999998</v>
      </c>
      <c r="DU16" s="21">
        <f>-'[1]Bal Sheet'!EV44</f>
        <v>-4182.21119</v>
      </c>
      <c r="DV16" s="21">
        <f>-'[1]Bal Sheet'!EW44</f>
        <v>-4161.0365000000002</v>
      </c>
      <c r="DW16" s="21">
        <f>-'[1]Bal Sheet'!EX44</f>
        <v>-4138.7578700000004</v>
      </c>
      <c r="DX16" s="21">
        <f>-'[1]Bal Sheet'!EY44</f>
        <v>-4116.4792400000006</v>
      </c>
      <c r="DY16" s="21">
        <f>-'[1]Bal Sheet'!EZ44</f>
        <v>-4568.2277899999999</v>
      </c>
      <c r="DZ16" s="21">
        <f>-'[1]Bal Sheet'!FA44</f>
        <v>-4607.0475999999999</v>
      </c>
      <c r="EA16" s="21">
        <f>-'[1]Bal Sheet'!FB44</f>
        <v>-4577.8456399999995</v>
      </c>
      <c r="EB16" s="21">
        <f>-'[1]Bal Sheet'!FC44</f>
        <v>-4562.2672300000004</v>
      </c>
      <c r="EC16" s="21">
        <f>-'[1]Bal Sheet'!FD44</f>
        <v>-4533.6203099999993</v>
      </c>
      <c r="ED16" s="21">
        <f>-'[1]Bal Sheet'!FE44</f>
        <v>-4543.2443700000003</v>
      </c>
    </row>
    <row r="17" spans="1:143">
      <c r="A17" s="16" t="s">
        <v>14</v>
      </c>
      <c r="B17" s="2" t="s">
        <v>15</v>
      </c>
      <c r="C17" s="22">
        <v>-3379.4855400000001</v>
      </c>
      <c r="D17" s="22">
        <v>-3379.4855400000001</v>
      </c>
      <c r="E17" s="22">
        <v>-3379.4855400000001</v>
      </c>
      <c r="F17" s="22">
        <v>-3379.4855400000001</v>
      </c>
      <c r="G17" s="22">
        <v>-3379.4855400000001</v>
      </c>
      <c r="H17" s="22">
        <v>-3379.4855400000001</v>
      </c>
      <c r="I17" s="22">
        <v>-3379.4855400000001</v>
      </c>
      <c r="J17" s="22">
        <v>-3379.4855400000001</v>
      </c>
      <c r="K17" s="22">
        <v>-3379.4855400000001</v>
      </c>
      <c r="L17" s="22">
        <v>-3379.4855400000001</v>
      </c>
      <c r="M17" s="22">
        <v>-3379.4855400000001</v>
      </c>
      <c r="N17" s="22">
        <v>-3379.4855400000001</v>
      </c>
      <c r="O17" s="22">
        <v>-3379.4855400000001</v>
      </c>
      <c r="P17" s="22">
        <v>-3343.0035899999998</v>
      </c>
      <c r="Q17" s="22">
        <v>-3306.5216399999999</v>
      </c>
      <c r="R17" s="22">
        <v>-3270.0396900000001</v>
      </c>
      <c r="S17" s="22">
        <v>-3233.5577400000002</v>
      </c>
      <c r="T17" s="22">
        <v>-3197.0757899999999</v>
      </c>
      <c r="U17" s="22">
        <v>-3160.59384</v>
      </c>
      <c r="V17" s="22">
        <v>-3124.1118900000001</v>
      </c>
      <c r="W17" s="22">
        <v>-3087.6299399999998</v>
      </c>
      <c r="X17" s="22">
        <v>-3051.1479900000004</v>
      </c>
      <c r="Y17" s="22">
        <v>-3014.6660400000001</v>
      </c>
      <c r="Z17" s="22">
        <v>-2978.1840899999997</v>
      </c>
      <c r="AA17" s="23">
        <v>-2941.7021400000003</v>
      </c>
      <c r="AB17" s="23">
        <v>-2905.22019</v>
      </c>
      <c r="AC17" s="23">
        <v>-2868.7382400000001</v>
      </c>
      <c r="AD17" s="23">
        <v>-2829.8726099999999</v>
      </c>
      <c r="AE17" s="23">
        <v>-2806.1155600000002</v>
      </c>
      <c r="AF17" s="23">
        <v>-2769.60484</v>
      </c>
      <c r="AG17" s="23">
        <v>-2733.0941200000002</v>
      </c>
      <c r="AH17" s="23">
        <v>-2696.5834</v>
      </c>
      <c r="AI17" s="23">
        <v>-2660.0726800000002</v>
      </c>
      <c r="AJ17" s="23">
        <v>-2623.56196</v>
      </c>
      <c r="AK17" s="23">
        <v>-2587.0512400000002</v>
      </c>
      <c r="AL17" s="23">
        <v>-2550.54052</v>
      </c>
      <c r="AM17" s="23">
        <v>-2514.0297999999998</v>
      </c>
      <c r="AN17" s="23">
        <v>-2477.51908</v>
      </c>
      <c r="AO17" s="23">
        <v>-2413.4844399999997</v>
      </c>
      <c r="AP17" s="23">
        <v>-2216.7097200000003</v>
      </c>
      <c r="AQ17" s="23">
        <v>-2020.9469199999999</v>
      </c>
      <c r="AR17" s="23">
        <v>-1985.4002</v>
      </c>
      <c r="AS17" s="23">
        <v>-1949.85348</v>
      </c>
      <c r="AT17" s="23">
        <v>-1914.3067599999999</v>
      </c>
      <c r="AU17" s="23">
        <v>-1878.7600400000001</v>
      </c>
      <c r="AV17" s="23">
        <v>-1843.2133200000001</v>
      </c>
      <c r="AW17" s="23">
        <v>-1807.6666</v>
      </c>
      <c r="AX17" s="23">
        <v>-1772.11988</v>
      </c>
      <c r="AY17" s="23">
        <v>-1736.5731599999999</v>
      </c>
      <c r="AZ17" s="23">
        <v>-1701.0264399999999</v>
      </c>
      <c r="BA17" s="23">
        <v>-1665.47972</v>
      </c>
      <c r="BB17" s="23">
        <v>-1629.933</v>
      </c>
      <c r="BC17" s="23">
        <v>-1594.3862799999999</v>
      </c>
      <c r="BD17" s="23">
        <v>-1558.8395600000001</v>
      </c>
      <c r="BE17" s="23">
        <v>-1523.2928400000001</v>
      </c>
      <c r="BF17" s="23">
        <v>-1487.74612</v>
      </c>
      <c r="BG17" s="23">
        <v>-1452.1994</v>
      </c>
      <c r="BH17" s="23">
        <v>-1416.6526799999999</v>
      </c>
      <c r="BI17" s="23">
        <v>-1381.1059599999999</v>
      </c>
      <c r="BJ17" s="23">
        <v>-1345.55924</v>
      </c>
      <c r="BK17" s="23">
        <v>-1310.01252</v>
      </c>
      <c r="BL17" s="23">
        <v>-1274.4657999999999</v>
      </c>
      <c r="BM17" s="23">
        <v>-1238.9190800000001</v>
      </c>
      <c r="BN17" s="23">
        <v>-1203.3723600000001</v>
      </c>
      <c r="BO17" s="23">
        <v>-1167.8256399999998</v>
      </c>
      <c r="BP17" s="23">
        <v>-1132.27892</v>
      </c>
      <c r="BQ17" s="23">
        <v>-1096.7321999999999</v>
      </c>
      <c r="BR17" s="23">
        <v>-1061.1854799999999</v>
      </c>
      <c r="BS17" s="23">
        <v>-1025.63876</v>
      </c>
      <c r="BT17" s="23">
        <v>-990.09204</v>
      </c>
      <c r="BU17" s="23">
        <v>-954.54531999999995</v>
      </c>
      <c r="BV17" s="23">
        <v>-918.99860000000001</v>
      </c>
      <c r="BW17" s="23">
        <v>-883.45187999999996</v>
      </c>
      <c r="BX17" s="23">
        <v>-847.90516000000002</v>
      </c>
      <c r="BY17" s="23">
        <v>-812.35843999999997</v>
      </c>
      <c r="BZ17" s="23">
        <v>-776.81171999999992</v>
      </c>
      <c r="CA17" s="23">
        <v>-757.66402000000005</v>
      </c>
      <c r="CB17" s="23">
        <v>-754.91507999999999</v>
      </c>
      <c r="CC17" s="23">
        <v>-752.16614000000004</v>
      </c>
      <c r="CD17" s="23">
        <v>-749.41719999999998</v>
      </c>
      <c r="CE17" s="23">
        <v>-746.66826000000003</v>
      </c>
      <c r="CF17" s="23">
        <v>-743.91931999999997</v>
      </c>
      <c r="CG17" s="23">
        <v>-741.17038000000002</v>
      </c>
      <c r="CH17" s="23">
        <v>-738.42143999999996</v>
      </c>
      <c r="CI17" s="23">
        <v>-735.67250000000001</v>
      </c>
      <c r="CJ17" s="23">
        <v>-732.92356000000007</v>
      </c>
      <c r="CK17" s="23">
        <v>-730.17462</v>
      </c>
      <c r="CL17" s="23">
        <v>-727.42568000000006</v>
      </c>
      <c r="CM17" s="23">
        <v>-724.67674</v>
      </c>
      <c r="CN17" s="23">
        <v>-721.92780000000005</v>
      </c>
      <c r="CO17" s="23">
        <v>-719.17885999999999</v>
      </c>
      <c r="CP17" s="23">
        <v>-716.42992000000004</v>
      </c>
      <c r="CQ17" s="23">
        <v>-713.68097999999998</v>
      </c>
      <c r="CR17" s="23">
        <v>-710.93204000000003</v>
      </c>
      <c r="CS17" s="23">
        <v>-708.18309999999997</v>
      </c>
      <c r="CT17" s="23">
        <v>-705.43416000000002</v>
      </c>
      <c r="CU17" s="23">
        <v>-702.68521999999996</v>
      </c>
      <c r="CV17" s="23">
        <v>-699.93628000000001</v>
      </c>
      <c r="CW17" s="23">
        <v>-697.18733999999995</v>
      </c>
      <c r="CX17" s="23">
        <v>-694.4384</v>
      </c>
      <c r="CY17" s="23">
        <v>-691.68945999999994</v>
      </c>
      <c r="CZ17" s="23">
        <v>-688.94051999999999</v>
      </c>
      <c r="DA17" s="23">
        <v>-686.19157999999993</v>
      </c>
      <c r="DB17" s="23">
        <v>-683.44263999999998</v>
      </c>
      <c r="DC17" s="23">
        <v>-680.69369999999992</v>
      </c>
      <c r="DD17" s="23">
        <v>-677.94475999999997</v>
      </c>
      <c r="DE17" s="23">
        <v>-675.19581999999991</v>
      </c>
      <c r="DF17" s="23">
        <v>-672.44687999999996</v>
      </c>
      <c r="DG17" s="23">
        <v>-669.6979399999999</v>
      </c>
      <c r="DH17" s="23">
        <v>-666.94899999999996</v>
      </c>
      <c r="DI17" s="23">
        <v>-664.20006000000001</v>
      </c>
      <c r="DJ17" s="23">
        <v>-661.43832999999995</v>
      </c>
      <c r="DK17" s="23">
        <v>-658.68939</v>
      </c>
      <c r="DL17" s="23">
        <v>-655.94044999999994</v>
      </c>
      <c r="DM17" s="23">
        <f>-VLOOKUP("2190040",'[1]Input BS ACCTS'!$A$5:$DD$397,95,FALSE)/1000</f>
        <v>-653.19150999999999</v>
      </c>
      <c r="DN17" s="23">
        <f>-VLOOKUP("2190040",'[1]Input BS ACCTS'!$A$5:$DD$397,96,FALSE)/1000</f>
        <v>-650.44256999999993</v>
      </c>
      <c r="DO17" s="23">
        <f>-VLOOKUP("2190040",'[1]Input BS ACCTS'!$A$5:$DD$397,97,FALSE)/1000</f>
        <v>-647.69362999999998</v>
      </c>
      <c r="DP17" s="23">
        <f>-VLOOKUP("2190040",'[1]Input BS ACCTS'!$A$5:$DD$397,98,FALSE)/1000</f>
        <v>-644.94468999999992</v>
      </c>
      <c r="DQ17" s="23">
        <f>-VLOOKUP("2190040",'[1]Input BS ACCTS'!$A$5:$DD$397,99,FALSE)/1000</f>
        <v>-642.19574999999998</v>
      </c>
      <c r="DR17" s="23">
        <f>-VLOOKUP("2190040",'[1]Input BS ACCTS'!$A$5:$DD$397,100,FALSE)/1000</f>
        <v>-639.44681000000003</v>
      </c>
      <c r="DS17" s="23">
        <f>-VLOOKUP("2190040",'[1]Input BS ACCTS'!$A$5:$DD$397,101,FALSE)/1000</f>
        <v>-636.69786999999997</v>
      </c>
      <c r="DT17" s="23">
        <f>-VLOOKUP("2190040",'[1]Input BS ACCTS'!$A$5:$DD$397,102,FALSE)/1000</f>
        <v>-633.94893000000002</v>
      </c>
      <c r="DU17" s="23">
        <f>-VLOOKUP("2190040",'[1]Input BS ACCTS'!$A$5:$DD$397,103,FALSE)/1000</f>
        <v>-631.19998999999996</v>
      </c>
      <c r="DV17" s="23">
        <f>-VLOOKUP("2190040",'[1]Input BS ACCTS'!$A$5:$DD$397,104,FALSE)/1000</f>
        <v>-628.45105000000001</v>
      </c>
      <c r="DW17" s="23">
        <f>-VLOOKUP("2190040",'[1]Input BS ACCTS'!$A$5:$DD$397,105,FALSE)/1000</f>
        <v>-625.70210999999995</v>
      </c>
      <c r="DX17" s="23">
        <f>-VLOOKUP("2190040",'[1]Input BS ACCTS'!$A$5:$DD$397,106,FALSE)/1000</f>
        <v>-622.95317</v>
      </c>
      <c r="DY17" s="23">
        <f>-VLOOKUP("2190040",'[1]Input BS ACCTS'!$A$5:$DE$397,107,FALSE)/1000</f>
        <v>-620.20422999999994</v>
      </c>
      <c r="DZ17" s="23">
        <f>-VLOOKUP("2190040",'[1]Input BS ACCTS'!$A$5:$DE$397,108,FALSE)/1000</f>
        <v>-617.45528999999999</v>
      </c>
      <c r="EA17" s="23">
        <f>-VLOOKUP("2190040",'[1]Input BS ACCTS'!$A$5:$DE$397,109,FALSE)/1000</f>
        <v>-614.70634999999993</v>
      </c>
      <c r="EB17" s="23">
        <f>-VLOOKUP("2190040",'[1]Input BS ACCTS'!$A$5:$DH$397,110,FALSE)/1000</f>
        <v>-611.95740999999998</v>
      </c>
      <c r="EC17" s="23">
        <f>-VLOOKUP("2190040",'[1]Input BS ACCTS'!$A$5:$DH$397,111,FALSE)/1000</f>
        <v>-609.20846999999992</v>
      </c>
      <c r="ED17" s="23">
        <f>-VLOOKUP("2190040",'[1]Input BS ACCTS'!$A$5:$DH$397,112,FALSE)/1000</f>
        <v>-606.45952999999997</v>
      </c>
    </row>
    <row r="18" spans="1:143">
      <c r="B18" s="24" t="s">
        <v>9</v>
      </c>
      <c r="C18" s="17">
        <f t="shared" ref="C18:T18" si="4">SUM(C14:C17)</f>
        <v>218703.51446000001</v>
      </c>
      <c r="D18" s="17">
        <f t="shared" si="4"/>
        <v>218787.51446000001</v>
      </c>
      <c r="E18" s="17">
        <f t="shared" si="4"/>
        <v>218870.51446000001</v>
      </c>
      <c r="F18" s="17">
        <f t="shared" si="4"/>
        <v>218954.51446000001</v>
      </c>
      <c r="G18" s="17">
        <f t="shared" si="4"/>
        <v>219037.51446000001</v>
      </c>
      <c r="H18" s="17">
        <f t="shared" si="4"/>
        <v>249537.8512</v>
      </c>
      <c r="I18" s="17">
        <f t="shared" si="4"/>
        <v>246215.29302999997</v>
      </c>
      <c r="J18" s="17">
        <f t="shared" si="4"/>
        <v>201977.40229</v>
      </c>
      <c r="K18" s="17">
        <f t="shared" si="4"/>
        <v>226769.76318000001</v>
      </c>
      <c r="L18" s="17">
        <f t="shared" si="4"/>
        <v>226753.45676</v>
      </c>
      <c r="M18" s="17">
        <f t="shared" si="4"/>
        <v>226762.17709000001</v>
      </c>
      <c r="N18" s="17">
        <f t="shared" si="4"/>
        <v>226763.62151</v>
      </c>
      <c r="O18" s="17">
        <f t="shared" si="4"/>
        <v>226772.44321</v>
      </c>
      <c r="P18" s="17">
        <f t="shared" si="4"/>
        <v>226817.68188999998</v>
      </c>
      <c r="Q18" s="17">
        <f t="shared" si="4"/>
        <v>226862.92056999999</v>
      </c>
      <c r="R18" s="17">
        <f t="shared" si="4"/>
        <v>226908.15925</v>
      </c>
      <c r="S18" s="17">
        <f t="shared" si="4"/>
        <v>226953.39793000001</v>
      </c>
      <c r="T18" s="17">
        <f t="shared" si="4"/>
        <v>226998.63660999999</v>
      </c>
      <c r="U18" s="17">
        <f t="shared" ref="U18:CF18" si="5">SUM(U14:U17)</f>
        <v>227043.25854000001</v>
      </c>
      <c r="V18" s="17">
        <f t="shared" si="5"/>
        <v>227088.52127</v>
      </c>
      <c r="W18" s="17">
        <f t="shared" si="5"/>
        <v>227133.42867999998</v>
      </c>
      <c r="X18" s="17">
        <f t="shared" si="5"/>
        <v>227178.67217000001</v>
      </c>
      <c r="Y18" s="17">
        <f t="shared" si="5"/>
        <v>227223.91565999997</v>
      </c>
      <c r="Z18" s="17">
        <f t="shared" si="5"/>
        <v>227269.15914999999</v>
      </c>
      <c r="AA18" s="17">
        <f t="shared" si="5"/>
        <v>227314.40263999999</v>
      </c>
      <c r="AB18" s="17">
        <f t="shared" si="5"/>
        <v>227359.64613000001</v>
      </c>
      <c r="AC18" s="17">
        <f t="shared" si="5"/>
        <v>227404.88961999997</v>
      </c>
      <c r="AD18" s="17">
        <f t="shared" si="5"/>
        <v>227452.51678999999</v>
      </c>
      <c r="AE18" s="17">
        <f t="shared" si="5"/>
        <v>237385.54788</v>
      </c>
      <c r="AF18" s="17">
        <f t="shared" si="5"/>
        <v>237428.87821</v>
      </c>
      <c r="AG18" s="17">
        <f t="shared" si="5"/>
        <v>237471.89231000002</v>
      </c>
      <c r="AH18" s="17">
        <f t="shared" si="5"/>
        <v>237517.25654999999</v>
      </c>
      <c r="AI18" s="17">
        <f t="shared" si="5"/>
        <v>237552.57499999998</v>
      </c>
      <c r="AJ18" s="17">
        <f t="shared" si="5"/>
        <v>237598.00498</v>
      </c>
      <c r="AK18" s="17">
        <f t="shared" si="5"/>
        <v>237643.59954</v>
      </c>
      <c r="AL18" s="17">
        <f t="shared" si="5"/>
        <v>237689.19409999999</v>
      </c>
      <c r="AM18" s="17">
        <f t="shared" si="5"/>
        <v>237734.78866000002</v>
      </c>
      <c r="AN18" s="17">
        <f t="shared" si="5"/>
        <v>237780.38321999999</v>
      </c>
      <c r="AO18" s="17">
        <f t="shared" si="5"/>
        <v>237853.50169999999</v>
      </c>
      <c r="AP18" s="17">
        <f t="shared" si="5"/>
        <v>238059.36025999999</v>
      </c>
      <c r="AQ18" s="17">
        <f t="shared" si="5"/>
        <v>258037.98122000002</v>
      </c>
      <c r="AR18" s="17">
        <f t="shared" si="5"/>
        <v>258063.50169999999</v>
      </c>
      <c r="AS18" s="17">
        <f t="shared" si="5"/>
        <v>258107.63291000001</v>
      </c>
      <c r="AT18" s="17">
        <f t="shared" si="5"/>
        <v>258152.95015999998</v>
      </c>
      <c r="AU18" s="17">
        <f t="shared" si="5"/>
        <v>258188.37853000002</v>
      </c>
      <c r="AV18" s="17">
        <f t="shared" si="5"/>
        <v>258233.72355999998</v>
      </c>
      <c r="AW18" s="17">
        <f t="shared" si="5"/>
        <v>258279.06788000002</v>
      </c>
      <c r="AX18" s="17">
        <f t="shared" si="5"/>
        <v>258324.41290999998</v>
      </c>
      <c r="AY18" s="17">
        <f t="shared" si="5"/>
        <v>258369.75794000001</v>
      </c>
      <c r="AZ18" s="17">
        <f t="shared" si="5"/>
        <v>258415.10297000001</v>
      </c>
      <c r="BA18" s="17">
        <f t="shared" si="5"/>
        <v>258460.44799999997</v>
      </c>
      <c r="BB18" s="17">
        <f t="shared" si="5"/>
        <v>258505.79303</v>
      </c>
      <c r="BC18" s="17">
        <f t="shared" si="5"/>
        <v>258551.13805999997</v>
      </c>
      <c r="BD18" s="17">
        <f t="shared" si="5"/>
        <v>258596.48308999999</v>
      </c>
      <c r="BE18" s="17">
        <f t="shared" si="5"/>
        <v>258641.82811999996</v>
      </c>
      <c r="BF18" s="17">
        <f t="shared" si="5"/>
        <v>258687.17314999999</v>
      </c>
      <c r="BG18" s="17">
        <f t="shared" si="5"/>
        <v>258732.51817999998</v>
      </c>
      <c r="BH18" s="17">
        <f t="shared" si="5"/>
        <v>258777.86320999998</v>
      </c>
      <c r="BI18" s="17">
        <f t="shared" si="5"/>
        <v>258823.20824000001</v>
      </c>
      <c r="BJ18" s="17">
        <f t="shared" si="5"/>
        <v>258868.55326999997</v>
      </c>
      <c r="BK18" s="17">
        <f t="shared" si="5"/>
        <v>258913.8983</v>
      </c>
      <c r="BL18" s="17">
        <f t="shared" si="5"/>
        <v>258959.24333</v>
      </c>
      <c r="BM18" s="17">
        <f t="shared" si="5"/>
        <v>259004.58835999999</v>
      </c>
      <c r="BN18" s="17">
        <f t="shared" si="5"/>
        <v>259049.93338999999</v>
      </c>
      <c r="BO18" s="17">
        <f t="shared" si="5"/>
        <v>259095.27842000002</v>
      </c>
      <c r="BP18" s="17">
        <f t="shared" si="5"/>
        <v>259140.62344999998</v>
      </c>
      <c r="BQ18" s="17">
        <f t="shared" si="5"/>
        <v>259185.96848000001</v>
      </c>
      <c r="BR18" s="17">
        <f t="shared" si="5"/>
        <v>259231.31351000001</v>
      </c>
      <c r="BS18" s="17">
        <f t="shared" si="5"/>
        <v>259276.65854</v>
      </c>
      <c r="BT18" s="17">
        <f t="shared" si="5"/>
        <v>259322.00357000003</v>
      </c>
      <c r="BU18" s="17">
        <f t="shared" si="5"/>
        <v>259367.3486</v>
      </c>
      <c r="BV18" s="17">
        <f t="shared" si="5"/>
        <v>259412.69362999999</v>
      </c>
      <c r="BW18" s="17">
        <f t="shared" si="5"/>
        <v>259458.03865999996</v>
      </c>
      <c r="BX18" s="17">
        <f t="shared" si="5"/>
        <v>259503.38368999999</v>
      </c>
      <c r="BY18" s="17">
        <f t="shared" si="5"/>
        <v>259502.86933999998</v>
      </c>
      <c r="BZ18" s="17">
        <f t="shared" si="5"/>
        <v>259554.76570999998</v>
      </c>
      <c r="CA18" s="17">
        <f t="shared" si="5"/>
        <v>209588.68604</v>
      </c>
      <c r="CB18" s="17">
        <f t="shared" si="5"/>
        <v>283653.39963999996</v>
      </c>
      <c r="CC18" s="17">
        <f t="shared" si="5"/>
        <v>283450.31939999998</v>
      </c>
      <c r="CD18" s="17">
        <f t="shared" si="5"/>
        <v>283464.42400999996</v>
      </c>
      <c r="CE18" s="17">
        <f t="shared" si="5"/>
        <v>283442.11708</v>
      </c>
      <c r="CF18" s="17">
        <f t="shared" si="5"/>
        <v>308090.22249000001</v>
      </c>
      <c r="CG18" s="17">
        <f t="shared" ref="CG18:ED18" si="6">SUM(CG14:CG17)</f>
        <v>308102.60472</v>
      </c>
      <c r="CH18" s="17">
        <f t="shared" si="6"/>
        <v>308111.15353999997</v>
      </c>
      <c r="CI18" s="17">
        <f t="shared" si="6"/>
        <v>308124.97641999996</v>
      </c>
      <c r="CJ18" s="17">
        <f t="shared" si="6"/>
        <v>308138.78228999994</v>
      </c>
      <c r="CK18" s="17">
        <f t="shared" si="6"/>
        <v>308138.83468999999</v>
      </c>
      <c r="CL18" s="17">
        <f t="shared" si="6"/>
        <v>308152.69561</v>
      </c>
      <c r="CM18" s="17">
        <f t="shared" si="6"/>
        <v>308166.55652999994</v>
      </c>
      <c r="CN18" s="17">
        <f t="shared" si="6"/>
        <v>308180.41745000001</v>
      </c>
      <c r="CO18" s="17">
        <f t="shared" si="6"/>
        <v>332668.47287</v>
      </c>
      <c r="CP18" s="17">
        <f t="shared" si="6"/>
        <v>332638.63379999995</v>
      </c>
      <c r="CQ18" s="17">
        <f t="shared" si="6"/>
        <v>332643.09311999998</v>
      </c>
      <c r="CR18" s="17">
        <f t="shared" si="6"/>
        <v>332658.52294</v>
      </c>
      <c r="CS18" s="17">
        <f t="shared" si="6"/>
        <v>332673.95276000001</v>
      </c>
      <c r="CT18" s="17">
        <f t="shared" si="6"/>
        <v>332674.70597999997</v>
      </c>
      <c r="CU18" s="17">
        <f t="shared" si="6"/>
        <v>332690.17589999997</v>
      </c>
      <c r="CV18" s="17">
        <f t="shared" si="6"/>
        <v>332694.32626999996</v>
      </c>
      <c r="CW18" s="17">
        <f t="shared" si="6"/>
        <v>332705.98050000001</v>
      </c>
      <c r="CX18" s="17">
        <f t="shared" si="6"/>
        <v>332722.91876000003</v>
      </c>
      <c r="CY18" s="17">
        <f t="shared" si="6"/>
        <v>332739.85701999994</v>
      </c>
      <c r="CZ18" s="17">
        <f t="shared" si="6"/>
        <v>332756.79528000002</v>
      </c>
      <c r="DA18" s="17">
        <f t="shared" si="6"/>
        <v>332773.73354000004</v>
      </c>
      <c r="DB18" s="17">
        <f t="shared" si="6"/>
        <v>332790.67179999995</v>
      </c>
      <c r="DC18" s="17">
        <f t="shared" si="6"/>
        <v>332807.61005999998</v>
      </c>
      <c r="DD18" s="17">
        <f t="shared" si="6"/>
        <v>332824.54832000006</v>
      </c>
      <c r="DE18" s="17">
        <f t="shared" si="6"/>
        <v>332841.48657999997</v>
      </c>
      <c r="DF18" s="17">
        <f t="shared" si="6"/>
        <v>332858.42483999999</v>
      </c>
      <c r="DG18" s="17">
        <f t="shared" si="6"/>
        <v>332868.79920000001</v>
      </c>
      <c r="DH18" s="17">
        <f t="shared" si="6"/>
        <v>332886.45835999999</v>
      </c>
      <c r="DI18" s="17">
        <f t="shared" si="6"/>
        <v>560418.45276000013</v>
      </c>
      <c r="DJ18" s="17">
        <f t="shared" si="6"/>
        <v>560308.38945999998</v>
      </c>
      <c r="DK18" s="17">
        <f t="shared" si="6"/>
        <v>513422.76363</v>
      </c>
      <c r="DL18" s="17">
        <f t="shared" si="6"/>
        <v>513288.05262000003</v>
      </c>
      <c r="DM18" s="17">
        <f t="shared" si="6"/>
        <v>513319.60125000007</v>
      </c>
      <c r="DN18" s="17">
        <f t="shared" si="6"/>
        <v>513351.14987999998</v>
      </c>
      <c r="DO18" s="17">
        <f t="shared" si="6"/>
        <v>513382.69851000002</v>
      </c>
      <c r="DP18" s="17">
        <f t="shared" si="6"/>
        <v>513414.24714000005</v>
      </c>
      <c r="DQ18" s="17">
        <f t="shared" si="6"/>
        <v>513445.79577000003</v>
      </c>
      <c r="DR18" s="17">
        <f t="shared" si="6"/>
        <v>513462.83158</v>
      </c>
      <c r="DS18" s="17">
        <f t="shared" si="6"/>
        <v>513495.83361000003</v>
      </c>
      <c r="DT18" s="17">
        <f t="shared" si="6"/>
        <v>513528.56945999997</v>
      </c>
      <c r="DU18" s="17">
        <f t="shared" si="6"/>
        <v>513561.30531000003</v>
      </c>
      <c r="DV18" s="17">
        <f t="shared" si="6"/>
        <v>513593.05988000002</v>
      </c>
      <c r="DW18" s="17">
        <f t="shared" si="6"/>
        <v>513625.91839000001</v>
      </c>
      <c r="DX18" s="17">
        <f t="shared" si="6"/>
        <v>513658.7769</v>
      </c>
      <c r="DY18" s="17">
        <f t="shared" si="6"/>
        <v>588157.52027999994</v>
      </c>
      <c r="DZ18" s="17">
        <f t="shared" si="6"/>
        <v>588130.00528000004</v>
      </c>
      <c r="EA18" s="17">
        <f t="shared" si="6"/>
        <v>563170.51205000002</v>
      </c>
      <c r="EB18" s="17">
        <f t="shared" si="6"/>
        <v>563197.14110000001</v>
      </c>
      <c r="EC18" s="17">
        <f t="shared" si="6"/>
        <v>563236.83866000001</v>
      </c>
      <c r="ED18" s="17">
        <f t="shared" si="6"/>
        <v>563238.26523999998</v>
      </c>
    </row>
    <row r="19" spans="1:143">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row>
    <row r="20" spans="1:143">
      <c r="B20" s="17" t="s">
        <v>16</v>
      </c>
      <c r="C20" s="17"/>
      <c r="D20" s="17"/>
      <c r="E20" s="17"/>
      <c r="F20" s="17"/>
      <c r="G20" s="17"/>
      <c r="H20" s="17"/>
      <c r="I20" s="17"/>
      <c r="J20" s="17"/>
      <c r="K20" s="17"/>
      <c r="L20" s="17"/>
      <c r="M20" s="17"/>
      <c r="N20" s="17"/>
      <c r="O20" s="17">
        <f t="shared" ref="O20:AF20" si="7">SUM(C18:O18)/13</f>
        <v>225069.66004384618</v>
      </c>
      <c r="P20" s="17">
        <f t="shared" si="7"/>
        <v>225693.82676923083</v>
      </c>
      <c r="Q20" s="17">
        <f t="shared" si="7"/>
        <v>226315.01185461541</v>
      </c>
      <c r="R20" s="17">
        <f t="shared" si="7"/>
        <v>226933.29222307695</v>
      </c>
      <c r="S20" s="17">
        <f t="shared" si="7"/>
        <v>227548.59095153844</v>
      </c>
      <c r="T20" s="17">
        <f t="shared" si="7"/>
        <v>228160.98496307692</v>
      </c>
      <c r="U20" s="17">
        <f t="shared" si="7"/>
        <v>226430.63168153845</v>
      </c>
      <c r="V20" s="17">
        <f t="shared" si="7"/>
        <v>224959.34154615382</v>
      </c>
      <c r="W20" s="17">
        <f t="shared" si="7"/>
        <v>226894.42049923074</v>
      </c>
      <c r="X20" s="17">
        <f t="shared" si="7"/>
        <v>226925.87503692307</v>
      </c>
      <c r="Y20" s="17">
        <f t="shared" si="7"/>
        <v>226962.0641830769</v>
      </c>
      <c r="Z20" s="17">
        <f t="shared" si="7"/>
        <v>227001.06280307693</v>
      </c>
      <c r="AA20" s="17">
        <f t="shared" si="7"/>
        <v>227043.43058230769</v>
      </c>
      <c r="AB20" s="17">
        <f t="shared" si="7"/>
        <v>227088.60003769232</v>
      </c>
      <c r="AC20" s="17">
        <f t="shared" si="7"/>
        <v>227133.76986307692</v>
      </c>
      <c r="AD20" s="17">
        <f t="shared" si="7"/>
        <v>227179.1234184615</v>
      </c>
      <c r="AE20" s="17">
        <f t="shared" si="7"/>
        <v>227985.07639</v>
      </c>
      <c r="AF20" s="17">
        <f t="shared" si="7"/>
        <v>228790.88256538459</v>
      </c>
      <c r="AG20" s="17">
        <f t="shared" ref="AG20:AL20" si="8">SUM(U18:AG18)/13</f>
        <v>229596.51761923078</v>
      </c>
      <c r="AH20" s="17">
        <f t="shared" si="8"/>
        <v>230402.20977384617</v>
      </c>
      <c r="AI20" s="17">
        <f t="shared" si="8"/>
        <v>231207.13698384617</v>
      </c>
      <c r="AJ20" s="17">
        <f t="shared" si="8"/>
        <v>232012.10439153851</v>
      </c>
      <c r="AK20" s="17">
        <f t="shared" si="8"/>
        <v>232817.09880461541</v>
      </c>
      <c r="AL20" s="17">
        <f t="shared" si="8"/>
        <v>233622.12022307696</v>
      </c>
      <c r="AM20" s="17">
        <f t="shared" ref="AM20:CX20" si="9">SUM(AA18:AM18)/13</f>
        <v>234427.16864692309</v>
      </c>
      <c r="AN20" s="17">
        <f t="shared" si="9"/>
        <v>235232.24407615385</v>
      </c>
      <c r="AO20" s="17">
        <f t="shared" si="9"/>
        <v>236039.4637353846</v>
      </c>
      <c r="AP20" s="17">
        <f t="shared" si="9"/>
        <v>236859.03840000002</v>
      </c>
      <c r="AQ20" s="17">
        <f t="shared" si="9"/>
        <v>239211.76643307693</v>
      </c>
      <c r="AR20" s="17">
        <f t="shared" si="9"/>
        <v>240802.37826538461</v>
      </c>
      <c r="AS20" s="17">
        <f t="shared" si="9"/>
        <v>242393.05170384614</v>
      </c>
      <c r="AT20" s="17">
        <f t="shared" si="9"/>
        <v>243983.9023076923</v>
      </c>
      <c r="AU20" s="17">
        <f t="shared" si="9"/>
        <v>245573.98861384613</v>
      </c>
      <c r="AV20" s="17">
        <f t="shared" si="9"/>
        <v>247164.8461953846</v>
      </c>
      <c r="AW20" s="17">
        <f t="shared" si="9"/>
        <v>248755.69718769228</v>
      </c>
      <c r="AX20" s="25">
        <f t="shared" si="9"/>
        <v>250346.52898538456</v>
      </c>
      <c r="AY20" s="25">
        <f t="shared" si="9"/>
        <v>251937.34158846151</v>
      </c>
      <c r="AZ20" s="25">
        <f t="shared" si="9"/>
        <v>253528.13499692304</v>
      </c>
      <c r="BA20" s="25">
        <f t="shared" si="9"/>
        <v>255118.90921076926</v>
      </c>
      <c r="BB20" s="25">
        <f t="shared" si="9"/>
        <v>256707.54700538458</v>
      </c>
      <c r="BC20" s="25">
        <f t="shared" si="9"/>
        <v>258283.83760538459</v>
      </c>
      <c r="BD20" s="25">
        <f t="shared" si="9"/>
        <v>258326.79928769229</v>
      </c>
      <c r="BE20" s="25">
        <f t="shared" si="9"/>
        <v>258371.28593538457</v>
      </c>
      <c r="BF20" s="25">
        <f t="shared" si="9"/>
        <v>258415.86595384611</v>
      </c>
      <c r="BG20" s="25">
        <f t="shared" si="9"/>
        <v>258460.44810923078</v>
      </c>
      <c r="BH20" s="25">
        <f t="shared" si="9"/>
        <v>258505.79308461538</v>
      </c>
      <c r="BI20" s="25">
        <f t="shared" si="9"/>
        <v>258551.13806000006</v>
      </c>
      <c r="BJ20" s="25">
        <f t="shared" si="9"/>
        <v>258596.48309000002</v>
      </c>
      <c r="BK20" s="25">
        <f t="shared" si="9"/>
        <v>258641.82812000002</v>
      </c>
      <c r="BL20" s="25">
        <f t="shared" si="9"/>
        <v>258687.17314999999</v>
      </c>
      <c r="BM20" s="25">
        <f t="shared" si="9"/>
        <v>258732.51817999998</v>
      </c>
      <c r="BN20" s="25">
        <f t="shared" si="9"/>
        <v>258777.86320999998</v>
      </c>
      <c r="BO20" s="25">
        <f t="shared" si="9"/>
        <v>258823.20823999995</v>
      </c>
      <c r="BP20" s="25">
        <f t="shared" si="9"/>
        <v>258868.55326999997</v>
      </c>
      <c r="BQ20" s="25">
        <f t="shared" si="9"/>
        <v>258913.89829999997</v>
      </c>
      <c r="BR20" s="25">
        <f t="shared" si="9"/>
        <v>258959.24332999997</v>
      </c>
      <c r="BS20" s="25">
        <f t="shared" si="9"/>
        <v>259004.58835999997</v>
      </c>
      <c r="BT20" s="25">
        <f t="shared" si="9"/>
        <v>259049.93339000002</v>
      </c>
      <c r="BU20" s="25">
        <f t="shared" si="9"/>
        <v>259095.27842000002</v>
      </c>
      <c r="BV20" s="25">
        <f t="shared" si="9"/>
        <v>259140.62345000004</v>
      </c>
      <c r="BW20" s="25">
        <f t="shared" si="9"/>
        <v>259185.96848000007</v>
      </c>
      <c r="BX20" s="25">
        <f t="shared" si="9"/>
        <v>259231.31351000004</v>
      </c>
      <c r="BY20" s="25">
        <f t="shared" si="9"/>
        <v>259273.13089538459</v>
      </c>
      <c r="BZ20" s="25">
        <f t="shared" si="9"/>
        <v>259315.45223</v>
      </c>
      <c r="CA20" s="25">
        <f t="shared" si="9"/>
        <v>255510.74089538463</v>
      </c>
      <c r="CB20" s="26">
        <f t="shared" si="9"/>
        <v>257399.82714307692</v>
      </c>
      <c r="CC20" s="26">
        <f t="shared" si="9"/>
        <v>259269.80375461539</v>
      </c>
      <c r="CD20" s="26">
        <f t="shared" si="9"/>
        <v>261137.37725692306</v>
      </c>
      <c r="CE20" s="26">
        <f>SUM(BS18:CE18)/13</f>
        <v>262999.74676230771</v>
      </c>
      <c r="CF20" s="26">
        <f>SUM(BT18:CF18)/13</f>
        <v>266754.6362969231</v>
      </c>
      <c r="CG20" s="26">
        <f t="shared" si="9"/>
        <v>270506.99023153854</v>
      </c>
      <c r="CH20" s="26">
        <f t="shared" si="9"/>
        <v>274256.51368846156</v>
      </c>
      <c r="CI20" s="26">
        <f t="shared" si="9"/>
        <v>278003.61236461537</v>
      </c>
      <c r="CJ20" s="26">
        <f t="shared" si="9"/>
        <v>281748.28495153843</v>
      </c>
      <c r="CK20" s="26">
        <f t="shared" si="9"/>
        <v>285489.47348999995</v>
      </c>
      <c r="CL20" s="26">
        <f t="shared" si="9"/>
        <v>289231.76781846152</v>
      </c>
      <c r="CM20" s="26">
        <f t="shared" si="9"/>
        <v>292971.13634307688</v>
      </c>
      <c r="CN20" s="26">
        <f t="shared" si="9"/>
        <v>300555.11568230769</v>
      </c>
      <c r="CO20" s="26">
        <f t="shared" si="9"/>
        <v>304325.5059307692</v>
      </c>
      <c r="CP20" s="26">
        <f t="shared" si="9"/>
        <v>308109.22242307692</v>
      </c>
      <c r="CQ20" s="26">
        <f t="shared" si="9"/>
        <v>311892.19696999999</v>
      </c>
      <c r="CR20" s="26">
        <f t="shared" si="9"/>
        <v>315678.07434384612</v>
      </c>
      <c r="CS20" s="26">
        <f t="shared" si="9"/>
        <v>317569.13051846152</v>
      </c>
      <c r="CT20" s="26">
        <f t="shared" si="9"/>
        <v>319459.29215384612</v>
      </c>
      <c r="CU20" s="26">
        <f t="shared" si="9"/>
        <v>321349.98618153849</v>
      </c>
      <c r="CV20" s="26">
        <f t="shared" si="9"/>
        <v>323239.93617</v>
      </c>
      <c r="CW20" s="26">
        <f t="shared" si="9"/>
        <v>325129.72064769233</v>
      </c>
      <c r="CX20" s="26">
        <f t="shared" si="9"/>
        <v>327020.80403769237</v>
      </c>
      <c r="CY20" s="26">
        <f t="shared" ref="CY20:ED20" si="10">SUM(CM18:CY18)/13</f>
        <v>328912.12414615386</v>
      </c>
      <c r="CZ20" s="26">
        <f t="shared" si="10"/>
        <v>330803.68097307696</v>
      </c>
      <c r="DA20" s="26">
        <f t="shared" si="10"/>
        <v>332695.47451846156</v>
      </c>
      <c r="DB20" s="26">
        <f t="shared" si="10"/>
        <v>332704.8744361538</v>
      </c>
      <c r="DC20" s="26">
        <f t="shared" si="10"/>
        <v>332717.87260999996</v>
      </c>
      <c r="DD20" s="26">
        <f t="shared" si="10"/>
        <v>332731.83070230769</v>
      </c>
      <c r="DE20" s="26">
        <f t="shared" si="10"/>
        <v>332745.90482846153</v>
      </c>
      <c r="DF20" s="26">
        <f t="shared" si="10"/>
        <v>332760.09498846153</v>
      </c>
      <c r="DG20" s="26">
        <f t="shared" si="10"/>
        <v>332775.02523615386</v>
      </c>
      <c r="DH20" s="26">
        <f t="shared" si="10"/>
        <v>332790.12388692301</v>
      </c>
      <c r="DI20" s="26">
        <f t="shared" si="10"/>
        <v>350307.36438615381</v>
      </c>
      <c r="DJ20" s="26">
        <f t="shared" si="10"/>
        <v>367815.2419984616</v>
      </c>
      <c r="DK20" s="26">
        <f t="shared" si="10"/>
        <v>381715.23006538465</v>
      </c>
      <c r="DL20" s="26">
        <f t="shared" si="10"/>
        <v>395603.55280384619</v>
      </c>
      <c r="DM20" s="26">
        <f t="shared" si="10"/>
        <v>409492.99941692315</v>
      </c>
      <c r="DN20" s="26">
        <f t="shared" si="10"/>
        <v>423383.56990461546</v>
      </c>
      <c r="DO20" s="26">
        <f t="shared" si="10"/>
        <v>437275.26426692319</v>
      </c>
      <c r="DP20" s="26">
        <f t="shared" si="10"/>
        <v>451168.08250384621</v>
      </c>
      <c r="DQ20" s="26">
        <f t="shared" si="10"/>
        <v>465062.0246153847</v>
      </c>
      <c r="DR20" s="26">
        <f t="shared" si="10"/>
        <v>478955.97423076921</v>
      </c>
      <c r="DS20" s="26">
        <f t="shared" si="10"/>
        <v>492851.1595207692</v>
      </c>
      <c r="DT20" s="26">
        <f t="shared" si="10"/>
        <v>506748.06492538459</v>
      </c>
      <c r="DU20" s="26">
        <f t="shared" si="10"/>
        <v>520646.13007538457</v>
      </c>
      <c r="DV20" s="26">
        <f t="shared" si="10"/>
        <v>517044.17677692301</v>
      </c>
      <c r="DW20" s="26">
        <f t="shared" si="10"/>
        <v>513453.21746384609</v>
      </c>
      <c r="DX20" s="26">
        <f t="shared" si="10"/>
        <v>513471.37233076926</v>
      </c>
      <c r="DY20" s="26">
        <f t="shared" si="10"/>
        <v>519230.56215076923</v>
      </c>
      <c r="DZ20" s="26">
        <f t="shared" si="10"/>
        <v>524985.20861461549</v>
      </c>
      <c r="EA20" s="26">
        <f t="shared" si="10"/>
        <v>528817.467243077</v>
      </c>
      <c r="EB20" s="26">
        <f t="shared" si="10"/>
        <v>532649.34744230774</v>
      </c>
      <c r="EC20" s="26">
        <f t="shared" si="10"/>
        <v>536481.85448230768</v>
      </c>
      <c r="ED20" s="26">
        <f t="shared" si="10"/>
        <v>540312.0444415384</v>
      </c>
    </row>
    <row r="21" spans="1:143">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EF21" s="27" t="s">
        <v>17</v>
      </c>
      <c r="EG21" s="27"/>
      <c r="EH21" s="27"/>
      <c r="EI21" s="27"/>
      <c r="EJ21" s="27"/>
      <c r="EK21" s="27"/>
      <c r="EL21" s="27"/>
      <c r="EM21" s="27"/>
    </row>
    <row r="22" spans="1:143">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EF22" s="27"/>
      <c r="EG22" s="27"/>
      <c r="EH22" s="27"/>
      <c r="EI22" s="27"/>
      <c r="EJ22" s="27"/>
      <c r="EK22" s="27"/>
      <c r="EL22" s="27"/>
      <c r="EM22" s="27"/>
    </row>
    <row r="23" spans="1:143">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row>
    <row r="24" spans="1:143">
      <c r="B24" s="14" t="s">
        <v>18</v>
      </c>
      <c r="C24" s="15">
        <f>C12</f>
        <v>40911</v>
      </c>
      <c r="D24" s="15">
        <f t="shared" ref="D24:BO24" si="11">D12</f>
        <v>40941</v>
      </c>
      <c r="E24" s="15">
        <f t="shared" si="11"/>
        <v>40971</v>
      </c>
      <c r="F24" s="15">
        <f t="shared" si="11"/>
        <v>41001</v>
      </c>
      <c r="G24" s="15">
        <f t="shared" si="11"/>
        <v>41031</v>
      </c>
      <c r="H24" s="15">
        <f t="shared" si="11"/>
        <v>41061</v>
      </c>
      <c r="I24" s="15">
        <f t="shared" si="11"/>
        <v>41091</v>
      </c>
      <c r="J24" s="15">
        <f t="shared" si="11"/>
        <v>41122</v>
      </c>
      <c r="K24" s="15">
        <f t="shared" si="11"/>
        <v>41153</v>
      </c>
      <c r="L24" s="15">
        <f t="shared" si="11"/>
        <v>41184</v>
      </c>
      <c r="M24" s="15">
        <f t="shared" si="11"/>
        <v>41215</v>
      </c>
      <c r="N24" s="15">
        <f t="shared" si="11"/>
        <v>41246</v>
      </c>
      <c r="O24" s="15">
        <f t="shared" si="11"/>
        <v>41277</v>
      </c>
      <c r="P24" s="15">
        <f t="shared" si="11"/>
        <v>41308</v>
      </c>
      <c r="Q24" s="15">
        <f t="shared" si="11"/>
        <v>41339</v>
      </c>
      <c r="R24" s="15">
        <f t="shared" si="11"/>
        <v>41370</v>
      </c>
      <c r="S24" s="15">
        <f t="shared" si="11"/>
        <v>41401</v>
      </c>
      <c r="T24" s="15">
        <f t="shared" si="11"/>
        <v>41432</v>
      </c>
      <c r="U24" s="15">
        <f t="shared" si="11"/>
        <v>41463</v>
      </c>
      <c r="V24" s="15">
        <f t="shared" si="11"/>
        <v>41494</v>
      </c>
      <c r="W24" s="15">
        <f t="shared" si="11"/>
        <v>41525</v>
      </c>
      <c r="X24" s="15">
        <f t="shared" si="11"/>
        <v>41556</v>
      </c>
      <c r="Y24" s="15">
        <f t="shared" si="11"/>
        <v>41587</v>
      </c>
      <c r="Z24" s="15">
        <f t="shared" si="11"/>
        <v>41618</v>
      </c>
      <c r="AA24" s="15">
        <f t="shared" si="11"/>
        <v>41649</v>
      </c>
      <c r="AB24" s="15">
        <f t="shared" si="11"/>
        <v>41680</v>
      </c>
      <c r="AC24" s="15">
        <f t="shared" si="11"/>
        <v>41711</v>
      </c>
      <c r="AD24" s="15">
        <f t="shared" si="11"/>
        <v>41742</v>
      </c>
      <c r="AE24" s="15">
        <f t="shared" si="11"/>
        <v>41773</v>
      </c>
      <c r="AF24" s="15">
        <f t="shared" si="11"/>
        <v>41804</v>
      </c>
      <c r="AG24" s="15">
        <f t="shared" si="11"/>
        <v>41835</v>
      </c>
      <c r="AH24" s="15">
        <f t="shared" si="11"/>
        <v>41866</v>
      </c>
      <c r="AI24" s="15">
        <f t="shared" si="11"/>
        <v>41897</v>
      </c>
      <c r="AJ24" s="15">
        <f t="shared" si="11"/>
        <v>41928</v>
      </c>
      <c r="AK24" s="15">
        <f t="shared" si="11"/>
        <v>41959</v>
      </c>
      <c r="AL24" s="15">
        <f t="shared" si="11"/>
        <v>41990</v>
      </c>
      <c r="AM24" s="15">
        <f t="shared" si="11"/>
        <v>42021</v>
      </c>
      <c r="AN24" s="15">
        <f t="shared" si="11"/>
        <v>42052</v>
      </c>
      <c r="AO24" s="15">
        <f t="shared" si="11"/>
        <v>42083</v>
      </c>
      <c r="AP24" s="15">
        <f t="shared" si="11"/>
        <v>42114</v>
      </c>
      <c r="AQ24" s="15">
        <f t="shared" si="11"/>
        <v>42145</v>
      </c>
      <c r="AR24" s="15">
        <f t="shared" si="11"/>
        <v>42176</v>
      </c>
      <c r="AS24" s="15">
        <f t="shared" si="11"/>
        <v>42207</v>
      </c>
      <c r="AT24" s="15">
        <f t="shared" si="11"/>
        <v>42238</v>
      </c>
      <c r="AU24" s="15">
        <f t="shared" si="11"/>
        <v>42269</v>
      </c>
      <c r="AV24" s="15">
        <f t="shared" si="11"/>
        <v>42300</v>
      </c>
      <c r="AW24" s="15">
        <f t="shared" si="11"/>
        <v>42331</v>
      </c>
      <c r="AX24" s="15">
        <f t="shared" si="11"/>
        <v>42362</v>
      </c>
      <c r="AY24" s="15">
        <f t="shared" si="11"/>
        <v>42393</v>
      </c>
      <c r="AZ24" s="15">
        <f t="shared" si="11"/>
        <v>42424</v>
      </c>
      <c r="BA24" s="15">
        <f t="shared" si="11"/>
        <v>42455</v>
      </c>
      <c r="BB24" s="15">
        <f t="shared" si="11"/>
        <v>42486</v>
      </c>
      <c r="BC24" s="15">
        <f t="shared" si="11"/>
        <v>42517</v>
      </c>
      <c r="BD24" s="15">
        <f t="shared" si="11"/>
        <v>42548</v>
      </c>
      <c r="BE24" s="15">
        <f t="shared" si="11"/>
        <v>42579</v>
      </c>
      <c r="BF24" s="15">
        <f t="shared" si="11"/>
        <v>42610</v>
      </c>
      <c r="BG24" s="15">
        <f t="shared" si="11"/>
        <v>42641</v>
      </c>
      <c r="BH24" s="15">
        <f t="shared" si="11"/>
        <v>42672</v>
      </c>
      <c r="BI24" s="15">
        <f t="shared" si="11"/>
        <v>42703</v>
      </c>
      <c r="BJ24" s="15">
        <f t="shared" si="11"/>
        <v>42734</v>
      </c>
      <c r="BK24" s="15">
        <f t="shared" si="11"/>
        <v>42765</v>
      </c>
      <c r="BL24" s="15">
        <f t="shared" si="11"/>
        <v>42793</v>
      </c>
      <c r="BM24" s="15">
        <f t="shared" si="11"/>
        <v>42824</v>
      </c>
      <c r="BN24" s="15">
        <f t="shared" si="11"/>
        <v>42855</v>
      </c>
      <c r="BO24" s="15">
        <f t="shared" si="11"/>
        <v>42886</v>
      </c>
      <c r="BP24" s="15">
        <f t="shared" ref="BP24:EA24" si="12">BP12</f>
        <v>42916</v>
      </c>
      <c r="BQ24" s="15">
        <f t="shared" si="12"/>
        <v>42946</v>
      </c>
      <c r="BR24" s="15">
        <f t="shared" si="12"/>
        <v>42976</v>
      </c>
      <c r="BS24" s="15">
        <f t="shared" si="12"/>
        <v>43006</v>
      </c>
      <c r="BT24" s="15">
        <f t="shared" si="12"/>
        <v>43036</v>
      </c>
      <c r="BU24" s="15">
        <f t="shared" si="12"/>
        <v>43066</v>
      </c>
      <c r="BV24" s="15">
        <f t="shared" si="12"/>
        <v>43096</v>
      </c>
      <c r="BW24" s="15">
        <f t="shared" si="12"/>
        <v>43126</v>
      </c>
      <c r="BX24" s="15">
        <f t="shared" si="12"/>
        <v>43156</v>
      </c>
      <c r="BY24" s="15">
        <f t="shared" si="12"/>
        <v>43186</v>
      </c>
      <c r="BZ24" s="15">
        <f t="shared" si="12"/>
        <v>43216</v>
      </c>
      <c r="CA24" s="15">
        <f t="shared" si="12"/>
        <v>43246</v>
      </c>
      <c r="CB24" s="15">
        <f t="shared" si="12"/>
        <v>43276</v>
      </c>
      <c r="CC24" s="15">
        <f t="shared" si="12"/>
        <v>43306</v>
      </c>
      <c r="CD24" s="15">
        <f t="shared" si="12"/>
        <v>43336</v>
      </c>
      <c r="CE24" s="15">
        <f t="shared" si="12"/>
        <v>43366</v>
      </c>
      <c r="CF24" s="15">
        <f t="shared" si="12"/>
        <v>43396</v>
      </c>
      <c r="CG24" s="15">
        <f t="shared" si="12"/>
        <v>43426</v>
      </c>
      <c r="CH24" s="15">
        <f t="shared" si="12"/>
        <v>43456</v>
      </c>
      <c r="CI24" s="15">
        <f t="shared" si="12"/>
        <v>43486</v>
      </c>
      <c r="CJ24" s="15">
        <f t="shared" si="12"/>
        <v>43516</v>
      </c>
      <c r="CK24" s="15">
        <f t="shared" si="12"/>
        <v>43546</v>
      </c>
      <c r="CL24" s="15">
        <f t="shared" si="12"/>
        <v>43576</v>
      </c>
      <c r="CM24" s="15">
        <f t="shared" si="12"/>
        <v>43606</v>
      </c>
      <c r="CN24" s="15">
        <f t="shared" si="12"/>
        <v>43636</v>
      </c>
      <c r="CO24" s="15">
        <f t="shared" si="12"/>
        <v>43666</v>
      </c>
      <c r="CP24" s="15">
        <f t="shared" si="12"/>
        <v>43696</v>
      </c>
      <c r="CQ24" s="15">
        <f t="shared" si="12"/>
        <v>43726</v>
      </c>
      <c r="CR24" s="15">
        <f t="shared" si="12"/>
        <v>43756</v>
      </c>
      <c r="CS24" s="15">
        <f t="shared" si="12"/>
        <v>43786</v>
      </c>
      <c r="CT24" s="15">
        <f t="shared" si="12"/>
        <v>43816</v>
      </c>
      <c r="CU24" s="15">
        <f t="shared" si="12"/>
        <v>43846</v>
      </c>
      <c r="CV24" s="15">
        <f t="shared" si="12"/>
        <v>43876</v>
      </c>
      <c r="CW24" s="15">
        <f t="shared" si="12"/>
        <v>43906</v>
      </c>
      <c r="CX24" s="15">
        <f t="shared" si="12"/>
        <v>43936</v>
      </c>
      <c r="CY24" s="15">
        <f t="shared" si="12"/>
        <v>43966</v>
      </c>
      <c r="CZ24" s="15">
        <f t="shared" si="12"/>
        <v>43996</v>
      </c>
      <c r="DA24" s="15">
        <f t="shared" si="12"/>
        <v>44026</v>
      </c>
      <c r="DB24" s="15">
        <f t="shared" si="12"/>
        <v>44056</v>
      </c>
      <c r="DC24" s="15">
        <f t="shared" si="12"/>
        <v>44086</v>
      </c>
      <c r="DD24" s="15">
        <f t="shared" si="12"/>
        <v>44116</v>
      </c>
      <c r="DE24" s="15">
        <f t="shared" si="12"/>
        <v>44146</v>
      </c>
      <c r="DF24" s="15">
        <f t="shared" si="12"/>
        <v>44176</v>
      </c>
      <c r="DG24" s="15">
        <f t="shared" si="12"/>
        <v>44206</v>
      </c>
      <c r="DH24" s="15">
        <f t="shared" si="12"/>
        <v>44236</v>
      </c>
      <c r="DI24" s="15">
        <f t="shared" si="12"/>
        <v>44266</v>
      </c>
      <c r="DJ24" s="15">
        <f t="shared" si="12"/>
        <v>44296</v>
      </c>
      <c r="DK24" s="15">
        <f t="shared" si="12"/>
        <v>44326</v>
      </c>
      <c r="DL24" s="15">
        <f t="shared" si="12"/>
        <v>44356</v>
      </c>
      <c r="DM24" s="15">
        <f t="shared" si="12"/>
        <v>44386</v>
      </c>
      <c r="DN24" s="15">
        <f t="shared" si="12"/>
        <v>44416</v>
      </c>
      <c r="DO24" s="15">
        <f t="shared" si="12"/>
        <v>44446</v>
      </c>
      <c r="DP24" s="15">
        <f t="shared" si="12"/>
        <v>44476</v>
      </c>
      <c r="DQ24" s="15">
        <f t="shared" si="12"/>
        <v>44506</v>
      </c>
      <c r="DR24" s="15">
        <f t="shared" si="12"/>
        <v>44536</v>
      </c>
      <c r="DS24" s="15">
        <f t="shared" si="12"/>
        <v>44566</v>
      </c>
      <c r="DT24" s="15">
        <f t="shared" si="12"/>
        <v>44596</v>
      </c>
      <c r="DU24" s="15">
        <f t="shared" si="12"/>
        <v>44626</v>
      </c>
      <c r="DV24" s="15">
        <f t="shared" si="12"/>
        <v>44656</v>
      </c>
      <c r="DW24" s="15">
        <f t="shared" si="12"/>
        <v>44686</v>
      </c>
      <c r="DX24" s="15">
        <f t="shared" si="12"/>
        <v>44716</v>
      </c>
      <c r="DY24" s="15">
        <f t="shared" si="12"/>
        <v>44746</v>
      </c>
      <c r="DZ24" s="15">
        <f t="shared" si="12"/>
        <v>44776</v>
      </c>
      <c r="EA24" s="15">
        <f t="shared" si="12"/>
        <v>44806</v>
      </c>
      <c r="EB24" s="15">
        <f t="shared" ref="EB24:ED24" si="13">EB12</f>
        <v>44836</v>
      </c>
      <c r="EC24" s="15">
        <f t="shared" si="13"/>
        <v>44866</v>
      </c>
      <c r="ED24" s="15">
        <f t="shared" si="13"/>
        <v>44896</v>
      </c>
      <c r="EF24" s="28" t="s">
        <v>19</v>
      </c>
      <c r="EG24" s="28" t="s">
        <v>20</v>
      </c>
    </row>
    <row r="25" spans="1:143">
      <c r="B25" s="14"/>
      <c r="C25" s="14"/>
      <c r="D25" s="14"/>
      <c r="E25" s="14"/>
      <c r="F25" s="14"/>
      <c r="G25" s="14"/>
      <c r="H25" s="14"/>
      <c r="I25" s="14"/>
      <c r="J25" s="14"/>
      <c r="K25" s="14"/>
      <c r="L25" s="14"/>
      <c r="M25" s="14"/>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F25" s="25">
        <v>147148.94</v>
      </c>
      <c r="EG25" s="25">
        <v>574154.80000000005</v>
      </c>
      <c r="EH25" s="25">
        <f>+EF25+EG25</f>
        <v>721303.74</v>
      </c>
      <c r="EI25" s="2" t="s">
        <v>21</v>
      </c>
    </row>
    <row r="26" spans="1:143">
      <c r="A26" s="16" t="s">
        <v>22</v>
      </c>
      <c r="B26" s="17" t="s">
        <v>23</v>
      </c>
      <c r="C26" s="17">
        <v>1138.6145100000001</v>
      </c>
      <c r="D26" s="17">
        <v>1138.6145100000001</v>
      </c>
      <c r="E26" s="17">
        <v>1138.6145100000001</v>
      </c>
      <c r="F26" s="17">
        <v>1138.6145100000001</v>
      </c>
      <c r="G26" s="17">
        <v>1138.6145100000001</v>
      </c>
      <c r="H26" s="17">
        <v>1226.9161000000001</v>
      </c>
      <c r="I26" s="17">
        <v>1178.1222499999999</v>
      </c>
      <c r="J26" s="17">
        <v>1061.2871100000002</v>
      </c>
      <c r="K26" s="17">
        <v>942.94106000000011</v>
      </c>
      <c r="L26" s="17">
        <v>1002.52439</v>
      </c>
      <c r="M26" s="17">
        <v>997.10771999999997</v>
      </c>
      <c r="N26" s="17">
        <v>997.10771999999997</v>
      </c>
      <c r="O26" s="17">
        <v>996.83771999999999</v>
      </c>
      <c r="P26" s="17">
        <v>997.10771999999997</v>
      </c>
      <c r="Q26" s="17">
        <v>997.10771999999997</v>
      </c>
      <c r="R26" s="17">
        <v>997.10771999999997</v>
      </c>
      <c r="S26" s="17">
        <v>997.10771999999997</v>
      </c>
      <c r="T26" s="17">
        <v>997.10771999999997</v>
      </c>
      <c r="U26" s="17">
        <v>997.10771999999997</v>
      </c>
      <c r="V26" s="17">
        <v>997.10771999999997</v>
      </c>
      <c r="W26" s="17">
        <v>997.10771999999997</v>
      </c>
      <c r="X26" s="17">
        <v>997.10771999999997</v>
      </c>
      <c r="Y26" s="17">
        <v>997.10771999999997</v>
      </c>
      <c r="Z26" s="17">
        <v>997.10771999999997</v>
      </c>
      <c r="AA26" s="29">
        <v>997.10771999999997</v>
      </c>
      <c r="AB26" s="29">
        <v>997.10771999999997</v>
      </c>
      <c r="AC26" s="29">
        <v>997.10771999999997</v>
      </c>
      <c r="AD26" s="29">
        <v>997.10771999999997</v>
      </c>
      <c r="AE26" s="29">
        <v>1015.23272</v>
      </c>
      <c r="AF26" s="29">
        <v>1033.35772</v>
      </c>
      <c r="AG26" s="29">
        <v>1033.35772</v>
      </c>
      <c r="AH26" s="29">
        <v>1033.35772</v>
      </c>
      <c r="AI26" s="29">
        <v>1033.35772</v>
      </c>
      <c r="AJ26" s="29">
        <v>1033.35772</v>
      </c>
      <c r="AK26" s="29">
        <v>1033.35772</v>
      </c>
      <c r="AL26" s="29">
        <v>1033.35772</v>
      </c>
      <c r="AM26" s="29">
        <v>1033.35772</v>
      </c>
      <c r="AN26" s="29">
        <v>1033.3577299999999</v>
      </c>
      <c r="AO26" s="29">
        <v>1033.3577299999999</v>
      </c>
      <c r="AP26" s="29">
        <v>1033.3577299999999</v>
      </c>
      <c r="AQ26" s="29">
        <v>1033.3577299999999</v>
      </c>
      <c r="AR26" s="29">
        <v>1136.0244</v>
      </c>
      <c r="AS26" s="29">
        <v>1103.3577299999999</v>
      </c>
      <c r="AT26" s="29">
        <v>1103.3577299999999</v>
      </c>
      <c r="AU26" s="29">
        <v>1103.3577299999999</v>
      </c>
      <c r="AV26" s="29">
        <v>1103.3577299999999</v>
      </c>
      <c r="AW26" s="29">
        <v>1103.3577299999999</v>
      </c>
      <c r="AX26" s="30">
        <v>1103.3577299999999</v>
      </c>
      <c r="AY26" s="30">
        <v>1103.3577299999999</v>
      </c>
      <c r="AZ26" s="30">
        <v>1103.3577299999999</v>
      </c>
      <c r="BA26" s="30">
        <v>1103.3577299999999</v>
      </c>
      <c r="BB26" s="30">
        <v>1103.3577299999999</v>
      </c>
      <c r="BC26" s="30">
        <v>1103.3577299999999</v>
      </c>
      <c r="BD26" s="30">
        <v>1103.3577299999999</v>
      </c>
      <c r="BE26" s="30">
        <v>1103.3577299999999</v>
      </c>
      <c r="BF26" s="30">
        <v>1093.1077299999999</v>
      </c>
      <c r="BG26" s="30">
        <v>1103.3577299999999</v>
      </c>
      <c r="BH26" s="30">
        <v>1103.3577299999999</v>
      </c>
      <c r="BI26" s="30">
        <v>1103.3577299999999</v>
      </c>
      <c r="BJ26" s="30">
        <v>1103.3577299999999</v>
      </c>
      <c r="BK26" s="30">
        <v>1103.3577299999999</v>
      </c>
      <c r="BL26" s="30">
        <v>1103.3577299999999</v>
      </c>
      <c r="BM26" s="30">
        <v>1103.3577299999999</v>
      </c>
      <c r="BN26" s="30">
        <v>1103.3577299999999</v>
      </c>
      <c r="BO26" s="30">
        <v>1103.3577299999999</v>
      </c>
      <c r="BP26" s="30">
        <v>1103.3577299999999</v>
      </c>
      <c r="BQ26" s="30">
        <v>1103.3577299999999</v>
      </c>
      <c r="BR26" s="30">
        <v>1103.3577299999999</v>
      </c>
      <c r="BS26" s="30">
        <v>1103.3577299999999</v>
      </c>
      <c r="BT26" s="30">
        <v>1103.3577299999999</v>
      </c>
      <c r="BU26" s="30">
        <v>1103.3577299999999</v>
      </c>
      <c r="BV26" s="30">
        <v>1103.3577299999999</v>
      </c>
      <c r="BW26" s="30">
        <v>1103.3577299999999</v>
      </c>
      <c r="BX26" s="30">
        <v>1103.3577299999999</v>
      </c>
      <c r="BY26" s="30">
        <v>1103.3577299999999</v>
      </c>
      <c r="BZ26" s="30">
        <v>1103.3577299999999</v>
      </c>
      <c r="CA26" s="30">
        <v>976.274</v>
      </c>
      <c r="CB26" s="30">
        <v>1055.2326499999999</v>
      </c>
      <c r="CC26" s="30">
        <v>1117.9410600000001</v>
      </c>
      <c r="CD26" s="30">
        <v>1117.9410600000001</v>
      </c>
      <c r="CE26" s="30">
        <v>1117.9410600000001</v>
      </c>
      <c r="CF26" s="30">
        <v>1198.2883200000001</v>
      </c>
      <c r="CG26" s="30">
        <v>1210.6493899999998</v>
      </c>
      <c r="CH26" s="30">
        <v>1210.6493899999998</v>
      </c>
      <c r="CI26" s="30">
        <v>1210.6493899999998</v>
      </c>
      <c r="CJ26" s="30">
        <v>1210.6493899999998</v>
      </c>
      <c r="CK26" s="30">
        <v>1210.6493899999998</v>
      </c>
      <c r="CL26" s="30">
        <v>1210.6493899999998</v>
      </c>
      <c r="CM26" s="30">
        <v>1210.6493899999998</v>
      </c>
      <c r="CN26" s="30">
        <v>1210.6493899999998</v>
      </c>
      <c r="CO26" s="30">
        <v>1230.78828</v>
      </c>
      <c r="CP26" s="30">
        <v>1286.17022</v>
      </c>
      <c r="CQ26" s="30">
        <v>1286.17022</v>
      </c>
      <c r="CR26" s="30">
        <v>1286.17022</v>
      </c>
      <c r="CS26" s="30">
        <v>1286.17022</v>
      </c>
      <c r="CT26" s="30">
        <v>1286.17022</v>
      </c>
      <c r="CU26" s="30">
        <v>1286.17022</v>
      </c>
      <c r="CV26" s="30">
        <v>1286.17022</v>
      </c>
      <c r="CW26" s="30">
        <v>1281.1355100000001</v>
      </c>
      <c r="CX26" s="30">
        <v>1286.17022</v>
      </c>
      <c r="CY26" s="30">
        <v>1286.17022</v>
      </c>
      <c r="CZ26" s="30">
        <v>1286.17022</v>
      </c>
      <c r="DA26" s="30">
        <v>1286.17022</v>
      </c>
      <c r="DB26" s="30">
        <v>1286.17022</v>
      </c>
      <c r="DC26" s="30">
        <v>1286.17022</v>
      </c>
      <c r="DD26" s="30">
        <v>1286.17022</v>
      </c>
      <c r="DE26" s="30">
        <v>1286.17022</v>
      </c>
      <c r="DF26" s="30">
        <v>1286.17022</v>
      </c>
      <c r="DG26" s="30">
        <v>1286.17022</v>
      </c>
      <c r="DH26" s="30">
        <v>1286.17022</v>
      </c>
      <c r="DI26" s="30">
        <v>1603.85772</v>
      </c>
      <c r="DJ26" s="30">
        <v>1846.79522</v>
      </c>
      <c r="DK26" s="30">
        <v>1636.3541599999999</v>
      </c>
      <c r="DL26" s="30">
        <v>1741.5746899999999</v>
      </c>
      <c r="DM26" s="30">
        <f>[1]IncomeStmt!EB37/1000</f>
        <v>1636.3541599999999</v>
      </c>
      <c r="DN26" s="30">
        <f>[1]IncomeStmt!EC37/1000</f>
        <v>1636.3541599999999</v>
      </c>
      <c r="DO26" s="30">
        <f>[1]IncomeStmt!ED37/1000</f>
        <v>1542.9166599999999</v>
      </c>
      <c r="DP26" s="30">
        <f>[1]IncomeStmt!EE37/1000</f>
        <v>1636.3541599999999</v>
      </c>
      <c r="DQ26" s="30">
        <f>[1]IncomeStmt!EF37/1000</f>
        <v>1636.3541599999999</v>
      </c>
      <c r="DR26" s="30">
        <f>[1]IncomeStmt!EG37/1000</f>
        <v>1636.3541599999999</v>
      </c>
      <c r="DS26" s="30">
        <f>[1]IncomeStmt!EH37/1000</f>
        <v>1636.3541599999999</v>
      </c>
      <c r="DT26" s="30">
        <f>[1]IncomeStmt!EI37/1000</f>
        <v>1636.3541599999999</v>
      </c>
      <c r="DU26" s="30">
        <f>[1]IncomeStmt!EJ37/1000</f>
        <v>1636.3541599999999</v>
      </c>
      <c r="DV26" s="30">
        <f>[1]IncomeStmt!EK37/1000</f>
        <v>1636.3541599999999</v>
      </c>
      <c r="DW26" s="30">
        <f>[1]IncomeStmt!EL37/1000</f>
        <v>1636.3541599999999</v>
      </c>
      <c r="DX26" s="30">
        <f>[1]IncomeStmt!EM37/1000</f>
        <v>1636.3541599999999</v>
      </c>
      <c r="DY26" s="30">
        <f>[1]IncomeStmt!EN37/1000</f>
        <v>1802.7604099999999</v>
      </c>
      <c r="DZ26" s="30">
        <f>[1]IncomeStmt!EO37/1000</f>
        <v>1913.6979099999999</v>
      </c>
      <c r="EA26" s="30">
        <f>[1]IncomeStmt!EP37/1000</f>
        <v>1886.61445</v>
      </c>
      <c r="EB26" s="30">
        <f>[1]IncomeStmt!EQ37/1000</f>
        <v>1859.53124</v>
      </c>
      <c r="EC26" s="30">
        <f>[1]IncomeStmt!ER37/1000</f>
        <v>1859.53124</v>
      </c>
      <c r="ED26" s="30">
        <f>[1]IncomeStmt!ES37/1000</f>
        <v>1859.53124</v>
      </c>
      <c r="EF26" s="31">
        <f>-1353.53*5</f>
        <v>-6767.65</v>
      </c>
      <c r="EG26" s="31">
        <f>(+-5876.07*5)+(-1687.11*3-3374.34)</f>
        <v>-37816.019999999997</v>
      </c>
      <c r="EH26" s="31">
        <f>+EF26+EG26</f>
        <v>-44583.67</v>
      </c>
      <c r="EI26" s="2" t="s">
        <v>24</v>
      </c>
    </row>
    <row r="27" spans="1:143">
      <c r="A27" s="16" t="s">
        <v>25</v>
      </c>
      <c r="B27" s="17" t="s">
        <v>26</v>
      </c>
      <c r="C27" s="17">
        <v>6.9079600000000001</v>
      </c>
      <c r="D27" s="17">
        <v>6.9079600000000001</v>
      </c>
      <c r="E27" s="17">
        <v>6.9079600000000001</v>
      </c>
      <c r="F27" s="17">
        <v>6.9079600000000001</v>
      </c>
      <c r="G27" s="17">
        <v>6.9079600000000001</v>
      </c>
      <c r="H27" s="17">
        <v>7.29101</v>
      </c>
      <c r="I27" s="17">
        <v>6.0121000000000002</v>
      </c>
      <c r="J27" s="17">
        <v>1.32833</v>
      </c>
      <c r="K27" s="17">
        <v>1.32833</v>
      </c>
      <c r="L27" s="17">
        <v>1.5825</v>
      </c>
      <c r="M27" s="17">
        <v>1.5825</v>
      </c>
      <c r="N27" s="17">
        <v>1.5825</v>
      </c>
      <c r="O27" s="17">
        <v>1.5825</v>
      </c>
      <c r="P27" s="17">
        <v>1.5825</v>
      </c>
      <c r="Q27" s="17">
        <v>1.5825</v>
      </c>
      <c r="R27" s="17">
        <v>1.5825</v>
      </c>
      <c r="S27" s="17">
        <v>1.5825</v>
      </c>
      <c r="T27" s="17">
        <v>1.5825</v>
      </c>
      <c r="U27" s="17">
        <v>1.5825</v>
      </c>
      <c r="V27" s="17">
        <v>1.5825</v>
      </c>
      <c r="W27" s="17">
        <v>1.5825</v>
      </c>
      <c r="X27" s="17">
        <v>1.5825</v>
      </c>
      <c r="Y27" s="17">
        <v>1.5825</v>
      </c>
      <c r="Z27" s="17">
        <v>1.5825</v>
      </c>
      <c r="AA27" s="32">
        <v>1.5825</v>
      </c>
      <c r="AB27" s="32">
        <v>1.5825</v>
      </c>
      <c r="AC27" s="32">
        <v>1.5825</v>
      </c>
      <c r="AD27" s="32">
        <v>1.5825</v>
      </c>
      <c r="AE27" s="32">
        <v>1.5825</v>
      </c>
      <c r="AF27" s="32">
        <v>1.61042</v>
      </c>
      <c r="AG27" s="32">
        <v>1.6011099999999998</v>
      </c>
      <c r="AH27" s="32">
        <v>1.6011099999999998</v>
      </c>
      <c r="AI27" s="32">
        <v>1.6011099999999998</v>
      </c>
      <c r="AJ27" s="32">
        <v>1.6011099999999998</v>
      </c>
      <c r="AK27" s="32">
        <v>1.6011099999999998</v>
      </c>
      <c r="AL27" s="32">
        <v>1.6011099999999998</v>
      </c>
      <c r="AM27" s="33">
        <v>1.6011099999999998</v>
      </c>
      <c r="AN27" s="33">
        <v>1.6011099999999998</v>
      </c>
      <c r="AO27" s="33">
        <v>1.6011099999999998</v>
      </c>
      <c r="AP27" s="33">
        <v>1.6011099999999998</v>
      </c>
      <c r="AQ27" s="33">
        <v>1.6011099999999998</v>
      </c>
      <c r="AR27" s="33">
        <v>1.70564</v>
      </c>
      <c r="AS27" s="33">
        <v>1.70444</v>
      </c>
      <c r="AT27" s="33">
        <v>1.70444</v>
      </c>
      <c r="AU27" s="33">
        <v>1.70444</v>
      </c>
      <c r="AV27" s="33">
        <v>1.70444</v>
      </c>
      <c r="AW27" s="33">
        <v>1.70444</v>
      </c>
      <c r="AX27" s="33">
        <v>1.70444</v>
      </c>
      <c r="AY27" s="33">
        <v>1.70444</v>
      </c>
      <c r="AZ27" s="33">
        <v>1.70444</v>
      </c>
      <c r="BA27" s="33">
        <v>1.70444</v>
      </c>
      <c r="BB27" s="33">
        <v>1.70444</v>
      </c>
      <c r="BC27" s="33">
        <v>1.70444</v>
      </c>
      <c r="BD27" s="33">
        <v>1.70444</v>
      </c>
      <c r="BE27" s="33">
        <v>1.70444</v>
      </c>
      <c r="BF27" s="33">
        <v>1.70444</v>
      </c>
      <c r="BG27" s="33">
        <v>1.70444</v>
      </c>
      <c r="BH27" s="33">
        <v>1.70444</v>
      </c>
      <c r="BI27" s="33">
        <v>1.70444</v>
      </c>
      <c r="BJ27" s="33">
        <v>1.70444</v>
      </c>
      <c r="BK27" s="33">
        <v>1.70444</v>
      </c>
      <c r="BL27" s="33">
        <v>1.70444</v>
      </c>
      <c r="BM27" s="33">
        <v>1.70444</v>
      </c>
      <c r="BN27" s="33">
        <v>1.70444</v>
      </c>
      <c r="BO27" s="33">
        <v>1.70444</v>
      </c>
      <c r="BP27" s="33">
        <v>1.70444</v>
      </c>
      <c r="BQ27" s="33">
        <v>1.70444</v>
      </c>
      <c r="BR27" s="33">
        <v>1.70444</v>
      </c>
      <c r="BS27" s="33">
        <v>1.70444</v>
      </c>
      <c r="BT27" s="33">
        <v>1.70444</v>
      </c>
      <c r="BU27" s="33">
        <v>1.70444</v>
      </c>
      <c r="BV27" s="33">
        <v>1.70444</v>
      </c>
      <c r="BW27" s="33">
        <v>1.70444</v>
      </c>
      <c r="BX27" s="33">
        <v>1.70444</v>
      </c>
      <c r="BY27" s="33">
        <v>1.70444</v>
      </c>
      <c r="BZ27" s="33">
        <v>1.70444</v>
      </c>
      <c r="CA27" s="33">
        <v>1.70444</v>
      </c>
      <c r="CB27" s="33">
        <v>2.8199099999999997</v>
      </c>
      <c r="CC27" s="33">
        <v>2.82111</v>
      </c>
      <c r="CD27" s="33">
        <v>2.82111</v>
      </c>
      <c r="CE27" s="33">
        <v>2.82111</v>
      </c>
      <c r="CF27" s="33">
        <v>3.1670599999999998</v>
      </c>
      <c r="CG27" s="33">
        <v>3.1682600000000001</v>
      </c>
      <c r="CH27" s="33">
        <v>3.1682600000000001</v>
      </c>
      <c r="CI27" s="33">
        <v>3.1682600000000001</v>
      </c>
      <c r="CJ27" s="33">
        <v>3.1682600000000001</v>
      </c>
      <c r="CK27" s="33">
        <v>3.1682600000000001</v>
      </c>
      <c r="CL27" s="33">
        <v>3.1682600000000001</v>
      </c>
      <c r="CM27" s="33">
        <v>3.1682600000000001</v>
      </c>
      <c r="CN27" s="33">
        <v>3.1682600000000001</v>
      </c>
      <c r="CO27" s="33">
        <v>3.1682600000000001</v>
      </c>
      <c r="CP27" s="33">
        <v>3.9927600000000001</v>
      </c>
      <c r="CQ27" s="33">
        <v>3.9944099999999998</v>
      </c>
      <c r="CR27" s="33">
        <v>3.9944099999999998</v>
      </c>
      <c r="CS27" s="33">
        <v>3.9944099999999998</v>
      </c>
      <c r="CT27" s="33">
        <v>3.9944099999999998</v>
      </c>
      <c r="CU27" s="33">
        <v>3.9944099999999998</v>
      </c>
      <c r="CV27" s="33">
        <v>3.9944099999999998</v>
      </c>
      <c r="CW27" s="33">
        <v>3.9944099999999998</v>
      </c>
      <c r="CX27" s="33">
        <v>3.9944099999999998</v>
      </c>
      <c r="CY27" s="33">
        <v>3.9944099999999998</v>
      </c>
      <c r="CZ27" s="33">
        <v>3.9944099999999998</v>
      </c>
      <c r="DA27" s="33">
        <v>3.9944099999999998</v>
      </c>
      <c r="DB27" s="33">
        <v>3.9944099999999998</v>
      </c>
      <c r="DC27" s="33">
        <v>3.9944099999999998</v>
      </c>
      <c r="DD27" s="33">
        <v>3.9944099999999998</v>
      </c>
      <c r="DE27" s="33">
        <v>3.9944099999999998</v>
      </c>
      <c r="DF27" s="33">
        <v>3.9944099999999998</v>
      </c>
      <c r="DG27" s="33">
        <v>3.9944099999999998</v>
      </c>
      <c r="DH27" s="33">
        <v>3.9944099999999998</v>
      </c>
      <c r="DI27" s="33">
        <v>7.83094</v>
      </c>
      <c r="DJ27" s="33">
        <v>7.6524399999999995</v>
      </c>
      <c r="DK27" s="33">
        <v>7.83094</v>
      </c>
      <c r="DL27" s="33">
        <v>7.83094</v>
      </c>
      <c r="DM27" s="33">
        <f>VLOOKUP("7500120",'[1]Input IS ACCTS'!$A$6:$DH$513,94,FALSE)/1000</f>
        <v>7.83094</v>
      </c>
      <c r="DN27" s="33">
        <f>VLOOKUP("7500120",'[1]Input IS ACCTS'!$A$6:$DH$513,95,FALSE)/1000</f>
        <v>7.83094</v>
      </c>
      <c r="DO27" s="33">
        <f>VLOOKUP("7500120",'[1]Input IS ACCTS'!$A$6:$DH$513,96,FALSE)/1000</f>
        <v>7.83094</v>
      </c>
      <c r="DP27" s="33">
        <f>VLOOKUP("7500120",'[1]Input IS ACCTS'!$A$6:$DH$513,97,FALSE)/1000</f>
        <v>7.83094</v>
      </c>
      <c r="DQ27" s="33">
        <f>VLOOKUP("7500120",'[1]Input IS ACCTS'!$A$6:$DH$513,98,FALSE)/1000</f>
        <v>7.83094</v>
      </c>
      <c r="DR27" s="33">
        <f>VLOOKUP("7500120",'[1]Input IS ACCTS'!$A$6:$DH$513,99,FALSE)/1000</f>
        <v>7.83094</v>
      </c>
      <c r="DS27" s="33">
        <f>VLOOKUP("7500120",'[1]Input IS ACCTS'!$A$6:$DH$513,100,FALSE)/1000</f>
        <v>7.83094</v>
      </c>
      <c r="DT27" s="33">
        <f>VLOOKUP("7500120",'[1]Input IS ACCTS'!$A$6:$DH$513,101,FALSE)/1000</f>
        <v>7.83094</v>
      </c>
      <c r="DU27" s="33">
        <f>VLOOKUP("7500120",'[1]Input IS ACCTS'!$A$6:$DH$513,102,FALSE)/1000</f>
        <v>7.83094</v>
      </c>
      <c r="DV27" s="33">
        <f>VLOOKUP("7500120",'[1]Input IS ACCTS'!$A$6:$DH$513,103,FALSE)/1000</f>
        <v>7.83094</v>
      </c>
      <c r="DW27" s="33">
        <f>VLOOKUP("7500120",'[1]Input IS ACCTS'!$A$6:$DH$513,104,FALSE)/1000</f>
        <v>7.83094</v>
      </c>
      <c r="DX27" s="33">
        <f>VLOOKUP("7500120",'[1]Input IS ACCTS'!$A$6:$DH$513,105,FALSE)/1000</f>
        <v>7.83094</v>
      </c>
      <c r="DY27" s="33">
        <f>VLOOKUP("7500120",'[1]Input IS ACCTS'!$A$6:$DH$513,106,FALSE)/1000</f>
        <v>8.5574899999999996</v>
      </c>
      <c r="DZ27" s="33">
        <f>VLOOKUP("7500120",'[1]Input IS ACCTS'!$A$6:$DH$513,107,FALSE)/1000</f>
        <v>8.5558700000000005</v>
      </c>
      <c r="EA27" s="33">
        <f>VLOOKUP("7500120",'[1]Input IS ACCTS'!$A$6:$DH$513,108,FALSE)/1000</f>
        <v>8.5558700000000005</v>
      </c>
      <c r="EB27" s="33">
        <f>VLOOKUP("7500120",'[1]Input IS ACCTS'!$A$6:$DH$513,109,FALSE)/1000</f>
        <v>8.3017000000000003</v>
      </c>
      <c r="EC27" s="33">
        <f>VLOOKUP("7500120",'[1]Input IS ACCTS'!$A$6:$DH$513,110,FALSE)/1000</f>
        <v>8.3017000000000003</v>
      </c>
      <c r="ED27" s="33">
        <f>VLOOKUP("7500120",'[1]Input IS ACCTS'!$A$6:$DH$513,111,FALSE)/1000</f>
        <v>8.3017000000000003</v>
      </c>
      <c r="EF27" s="25">
        <f>+EF25+EF26</f>
        <v>140381.29</v>
      </c>
      <c r="EG27" s="25">
        <f>+EG25+EG26</f>
        <v>536338.78</v>
      </c>
      <c r="EH27" s="25">
        <f>+EH25+EH26</f>
        <v>676720.07</v>
      </c>
      <c r="EI27" s="2" t="s">
        <v>27</v>
      </c>
    </row>
    <row r="28" spans="1:143">
      <c r="A28" s="16" t="s">
        <v>28</v>
      </c>
      <c r="B28" s="17" t="s">
        <v>29</v>
      </c>
      <c r="C28" s="22">
        <v>109.36700999999999</v>
      </c>
      <c r="D28" s="22">
        <v>109.36700999999999</v>
      </c>
      <c r="E28" s="22">
        <v>109.36700999999999</v>
      </c>
      <c r="F28" s="22">
        <v>109.36700999999999</v>
      </c>
      <c r="G28" s="22">
        <v>109.36700999999999</v>
      </c>
      <c r="H28" s="22">
        <v>114.38930999999999</v>
      </c>
      <c r="I28" s="22">
        <v>107.91167999999999</v>
      </c>
      <c r="J28" s="22">
        <v>77.184479999999994</v>
      </c>
      <c r="K28" s="22">
        <v>42.177010000000003</v>
      </c>
      <c r="L28" s="22">
        <v>43.593679999999999</v>
      </c>
      <c r="M28" s="22">
        <v>43.619779999999999</v>
      </c>
      <c r="N28" s="22">
        <v>43.714030000000001</v>
      </c>
      <c r="O28" s="22">
        <v>43.721150000000002</v>
      </c>
      <c r="P28" s="22">
        <v>43.656179999999999</v>
      </c>
      <c r="Q28" s="22">
        <v>43.656179999999999</v>
      </c>
      <c r="R28" s="22">
        <v>43.656179999999999</v>
      </c>
      <c r="S28" s="22">
        <v>43.656179999999999</v>
      </c>
      <c r="T28" s="22">
        <v>43.656179999999999</v>
      </c>
      <c r="U28" s="22">
        <v>43.657899999999998</v>
      </c>
      <c r="V28" s="22">
        <v>43.680230000000002</v>
      </c>
      <c r="W28" s="22">
        <v>43.69491</v>
      </c>
      <c r="X28" s="22">
        <v>43.660989999999998</v>
      </c>
      <c r="Y28" s="22">
        <v>43.660989999999998</v>
      </c>
      <c r="Z28" s="22">
        <v>43.660989999999998</v>
      </c>
      <c r="AA28" s="34">
        <v>43.660989999999998</v>
      </c>
      <c r="AB28" s="34">
        <v>43.660989999999998</v>
      </c>
      <c r="AC28" s="34">
        <v>43.660989999999998</v>
      </c>
      <c r="AD28" s="34">
        <v>43.660989999999998</v>
      </c>
      <c r="AE28" s="34">
        <v>43.675370000000001</v>
      </c>
      <c r="AF28" s="34">
        <v>44.086239999999997</v>
      </c>
      <c r="AG28" s="34">
        <v>43.971830000000004</v>
      </c>
      <c r="AH28" s="34">
        <v>43.96313</v>
      </c>
      <c r="AI28" s="34">
        <v>44.167339999999996</v>
      </c>
      <c r="AJ28" s="34">
        <v>43.995539999999998</v>
      </c>
      <c r="AK28" s="34">
        <v>43.993449999999996</v>
      </c>
      <c r="AL28" s="34">
        <v>43.993449999999996</v>
      </c>
      <c r="AM28" s="35">
        <v>43.993449999999996</v>
      </c>
      <c r="AN28" s="35">
        <v>43.993449999999996</v>
      </c>
      <c r="AO28" s="35">
        <v>43.993449999999996</v>
      </c>
      <c r="AP28" s="35">
        <v>43.993449999999996</v>
      </c>
      <c r="AQ28" s="35">
        <v>76.660119999999992</v>
      </c>
      <c r="AR28" s="35">
        <v>10.94284</v>
      </c>
      <c r="AS28" s="35">
        <v>43.616109999999999</v>
      </c>
      <c r="AT28" s="35">
        <v>43.612809999999996</v>
      </c>
      <c r="AU28" s="35">
        <v>43.723930000000003</v>
      </c>
      <c r="AV28" s="35">
        <v>43.640589999999996</v>
      </c>
      <c r="AW28" s="35">
        <v>43.639879999999998</v>
      </c>
      <c r="AX28" s="35">
        <v>43.658709999999999</v>
      </c>
      <c r="AY28" s="35">
        <v>43.640589999999996</v>
      </c>
      <c r="AZ28" s="35">
        <v>43.640589999999996</v>
      </c>
      <c r="BA28" s="35">
        <v>43.640589999999996</v>
      </c>
      <c r="BB28" s="35">
        <v>43.640589999999996</v>
      </c>
      <c r="BC28" s="35">
        <v>43.640589999999996</v>
      </c>
      <c r="BD28" s="35">
        <v>43.640589999999996</v>
      </c>
      <c r="BE28" s="35">
        <v>43.640589999999996</v>
      </c>
      <c r="BF28" s="35">
        <v>43.640589999999996</v>
      </c>
      <c r="BG28" s="35">
        <v>43.640589999999996</v>
      </c>
      <c r="BH28" s="35">
        <v>43.640589999999996</v>
      </c>
      <c r="BI28" s="35">
        <v>43.640589999999996</v>
      </c>
      <c r="BJ28" s="35">
        <v>43.640589999999996</v>
      </c>
      <c r="BK28" s="35">
        <v>43.640589999999996</v>
      </c>
      <c r="BL28" s="35">
        <v>43.640589999999996</v>
      </c>
      <c r="BM28" s="35">
        <v>43.640589999999996</v>
      </c>
      <c r="BN28" s="35">
        <v>43.640589999999996</v>
      </c>
      <c r="BO28" s="35">
        <v>43.640589999999996</v>
      </c>
      <c r="BP28" s="35">
        <v>43.640589999999996</v>
      </c>
      <c r="BQ28" s="35">
        <v>43.640589999999996</v>
      </c>
      <c r="BR28" s="35">
        <v>43.640589999999996</v>
      </c>
      <c r="BS28" s="35">
        <v>43.640589999999996</v>
      </c>
      <c r="BT28" s="35">
        <v>43.640589999999996</v>
      </c>
      <c r="BU28" s="35">
        <v>43.640589999999996</v>
      </c>
      <c r="BV28" s="35">
        <v>43.640589999999996</v>
      </c>
      <c r="BW28" s="35">
        <v>43.640589999999996</v>
      </c>
      <c r="BX28" s="35">
        <v>43.640589999999996</v>
      </c>
      <c r="BY28" s="35">
        <v>43.640589999999996</v>
      </c>
      <c r="BZ28" s="35">
        <v>43.640589999999996</v>
      </c>
      <c r="CA28" s="35">
        <v>25.664549999999998</v>
      </c>
      <c r="CB28" s="35">
        <v>9.7971900000000005</v>
      </c>
      <c r="CC28" s="35">
        <v>9.8831299999999995</v>
      </c>
      <c r="CD28" s="35">
        <v>9.8852700000000002</v>
      </c>
      <c r="CE28" s="35">
        <v>10.320620000000002</v>
      </c>
      <c r="CF28" s="35">
        <v>10.636850000000001</v>
      </c>
      <c r="CG28" s="35">
        <v>10.660830000000001</v>
      </c>
      <c r="CH28" s="35">
        <v>10.68206</v>
      </c>
      <c r="CI28" s="35">
        <v>10.654620000000001</v>
      </c>
      <c r="CJ28" s="35">
        <v>10.654620000000001</v>
      </c>
      <c r="CK28" s="35">
        <v>10.884139999999999</v>
      </c>
      <c r="CL28" s="35">
        <v>10.69266</v>
      </c>
      <c r="CM28" s="35">
        <v>10.69266</v>
      </c>
      <c r="CN28" s="35">
        <v>10.69266</v>
      </c>
      <c r="CO28" s="35">
        <v>10.69266</v>
      </c>
      <c r="CP28" s="35">
        <v>11.405860000000001</v>
      </c>
      <c r="CQ28" s="35">
        <v>11.465909999999999</v>
      </c>
      <c r="CR28" s="35">
        <v>11.435409999999999</v>
      </c>
      <c r="CS28" s="35">
        <v>11.435409999999999</v>
      </c>
      <c r="CT28" s="35">
        <v>11.633809999999999</v>
      </c>
      <c r="CU28" s="35">
        <v>11.47551</v>
      </c>
      <c r="CV28" s="35">
        <v>11.47551</v>
      </c>
      <c r="CW28" s="35">
        <v>11.486870000000001</v>
      </c>
      <c r="CX28" s="35">
        <v>11.476790000000001</v>
      </c>
      <c r="CY28" s="35">
        <v>11.476790000000001</v>
      </c>
      <c r="CZ28" s="35">
        <v>11.476790000000001</v>
      </c>
      <c r="DA28" s="35">
        <v>11.476790000000001</v>
      </c>
      <c r="DB28" s="35">
        <v>11.476790000000001</v>
      </c>
      <c r="DC28" s="35">
        <v>11.476790000000001</v>
      </c>
      <c r="DD28" s="35">
        <v>11.476790000000001</v>
      </c>
      <c r="DE28" s="35">
        <v>11.476790000000001</v>
      </c>
      <c r="DF28" s="35">
        <v>11.476790000000001</v>
      </c>
      <c r="DG28" s="35">
        <v>11.476790000000001</v>
      </c>
      <c r="DH28" s="35">
        <v>11.476790000000001</v>
      </c>
      <c r="DI28" s="35">
        <v>21.131589999999999</v>
      </c>
      <c r="DJ28" s="35">
        <v>22.693210000000001</v>
      </c>
      <c r="DK28" s="35">
        <v>24.477970000000003</v>
      </c>
      <c r="DL28" s="35">
        <v>26.535630000000001</v>
      </c>
      <c r="DM28" s="35">
        <f>VLOOKUP("7500130",'[1]Input IS ACCTS'!$A$6:$DH$513,94,FALSE)/1000</f>
        <v>23.717689999999997</v>
      </c>
      <c r="DN28" s="35">
        <f>VLOOKUP("7500130",'[1]Input IS ACCTS'!$A$6:$DH$513,95,FALSE)/1000</f>
        <v>23.717689999999997</v>
      </c>
      <c r="DO28" s="35">
        <f>VLOOKUP("7500130",'[1]Input IS ACCTS'!$A$6:$DH$513,96,FALSE)/1000</f>
        <v>23.717689999999997</v>
      </c>
      <c r="DP28" s="35">
        <f>VLOOKUP("7500130",'[1]Input IS ACCTS'!$A$6:$DH$513,97,FALSE)/1000</f>
        <v>23.717689999999997</v>
      </c>
      <c r="DQ28" s="35">
        <f>VLOOKUP("7500130",'[1]Input IS ACCTS'!$A$6:$DH$513,98,FALSE)/1000</f>
        <v>25.183589999999999</v>
      </c>
      <c r="DR28" s="35">
        <f>VLOOKUP("7500130",'[1]Input IS ACCTS'!$A$6:$DH$513,99,FALSE)/1000</f>
        <v>23.717689999999997</v>
      </c>
      <c r="DS28" s="35">
        <f>VLOOKUP("7500130",'[1]Input IS ACCTS'!$A$6:$DH$513,100,FALSE)/1000</f>
        <v>23.717689999999997</v>
      </c>
      <c r="DT28" s="35">
        <f>VLOOKUP("7500130",'[1]Input IS ACCTS'!$A$6:$DH$513,101,FALSE)/1000</f>
        <v>23.717689999999997</v>
      </c>
      <c r="DU28" s="35">
        <f>VLOOKUP("7500130",'[1]Input IS ACCTS'!$A$6:$DH$513,102,FALSE)/1000</f>
        <v>23.717689999999997</v>
      </c>
      <c r="DV28" s="35">
        <f>VLOOKUP("7500130",'[1]Input IS ACCTS'!$A$6:$DH$513,103,FALSE)/1000</f>
        <v>23.717689999999997</v>
      </c>
      <c r="DW28" s="35">
        <f>VLOOKUP("7500130",'[1]Input IS ACCTS'!$A$6:$DH$513,104,FALSE)/1000</f>
        <v>23.717689999999997</v>
      </c>
      <c r="DX28" s="35">
        <f>VLOOKUP("7500130",'[1]Input IS ACCTS'!$A$6:$DH$513,105,FALSE)/1000</f>
        <v>23.717689999999997</v>
      </c>
      <c r="DY28" s="35">
        <f>VLOOKUP("7500130",'[1]Input IS ACCTS'!$A$6:$DH$513,106,FALSE)/1000</f>
        <v>29.831289999999999</v>
      </c>
      <c r="DZ28" s="35">
        <f>VLOOKUP("7500130",'[1]Input IS ACCTS'!$A$6:$DH$513,107,FALSE)/1000</f>
        <v>32.956739999999996</v>
      </c>
      <c r="EA28" s="35">
        <f>VLOOKUP("7500130",'[1]Input IS ACCTS'!$A$6:$DH$513,108,FALSE)/1000</f>
        <v>31.44614</v>
      </c>
      <c r="EB28" s="35">
        <f>VLOOKUP("7500130",'[1]Input IS ACCTS'!$A$6:$DH$513,109,FALSE)/1000</f>
        <v>31.017469999999999</v>
      </c>
      <c r="EC28" s="35">
        <f>VLOOKUP("7500130",'[1]Input IS ACCTS'!$A$6:$DH$513,110,FALSE)/1000</f>
        <v>30.085979999999999</v>
      </c>
      <c r="ED28" s="35">
        <f>VLOOKUP("7500130",'[1]Input IS ACCTS'!$A$6:$DH$513,111,FALSE)/1000</f>
        <v>30.085979999999999</v>
      </c>
      <c r="EF28" s="19"/>
      <c r="EG28" s="19"/>
      <c r="EH28" s="19"/>
    </row>
    <row r="29" spans="1:143">
      <c r="B29" s="24" t="s">
        <v>30</v>
      </c>
      <c r="C29" s="17">
        <f t="shared" ref="C29:AF29" si="14">SUM(C26:C28)</f>
        <v>1254.88948</v>
      </c>
      <c r="D29" s="17">
        <f t="shared" si="14"/>
        <v>1254.88948</v>
      </c>
      <c r="E29" s="17">
        <f t="shared" si="14"/>
        <v>1254.88948</v>
      </c>
      <c r="F29" s="17">
        <f t="shared" si="14"/>
        <v>1254.88948</v>
      </c>
      <c r="G29" s="17">
        <f t="shared" si="14"/>
        <v>1254.88948</v>
      </c>
      <c r="H29" s="17">
        <f t="shared" si="14"/>
        <v>1348.5964200000001</v>
      </c>
      <c r="I29" s="17">
        <f t="shared" si="14"/>
        <v>1292.0460299999997</v>
      </c>
      <c r="J29" s="17">
        <f t="shared" si="14"/>
        <v>1139.7999200000002</v>
      </c>
      <c r="K29" s="17">
        <f t="shared" si="14"/>
        <v>986.44640000000015</v>
      </c>
      <c r="L29" s="17">
        <f t="shared" si="14"/>
        <v>1047.70057</v>
      </c>
      <c r="M29" s="17">
        <f t="shared" si="14"/>
        <v>1042.31</v>
      </c>
      <c r="N29" s="17">
        <f t="shared" si="14"/>
        <v>1042.40425</v>
      </c>
      <c r="O29" s="17">
        <f t="shared" si="14"/>
        <v>1042.1413700000001</v>
      </c>
      <c r="P29" s="17">
        <f t="shared" si="14"/>
        <v>1042.3463999999999</v>
      </c>
      <c r="Q29" s="17">
        <f t="shared" si="14"/>
        <v>1042.3463999999999</v>
      </c>
      <c r="R29" s="17">
        <f t="shared" si="14"/>
        <v>1042.3463999999999</v>
      </c>
      <c r="S29" s="17">
        <f t="shared" si="14"/>
        <v>1042.3463999999999</v>
      </c>
      <c r="T29" s="17">
        <f t="shared" si="14"/>
        <v>1042.3463999999999</v>
      </c>
      <c r="U29" s="17">
        <f t="shared" si="14"/>
        <v>1042.3481199999999</v>
      </c>
      <c r="V29" s="17">
        <f t="shared" si="14"/>
        <v>1042.3704499999999</v>
      </c>
      <c r="W29" s="17">
        <f t="shared" si="14"/>
        <v>1042.3851299999999</v>
      </c>
      <c r="X29" s="17">
        <f t="shared" si="14"/>
        <v>1042.35121</v>
      </c>
      <c r="Y29" s="17">
        <f t="shared" si="14"/>
        <v>1042.35121</v>
      </c>
      <c r="Z29" s="17">
        <f t="shared" si="14"/>
        <v>1042.35121</v>
      </c>
      <c r="AA29" s="17">
        <f t="shared" si="14"/>
        <v>1042.35121</v>
      </c>
      <c r="AB29" s="17">
        <f t="shared" si="14"/>
        <v>1042.35121</v>
      </c>
      <c r="AC29" s="17">
        <f t="shared" si="14"/>
        <v>1042.35121</v>
      </c>
      <c r="AD29" s="17">
        <f t="shared" si="14"/>
        <v>1042.35121</v>
      </c>
      <c r="AE29" s="17">
        <f t="shared" si="14"/>
        <v>1060.4905899999999</v>
      </c>
      <c r="AF29" s="17">
        <f t="shared" si="14"/>
        <v>1079.05438</v>
      </c>
      <c r="AG29" s="17">
        <f t="shared" ref="AG29:CR29" si="15">SUM(AG26:AG28)</f>
        <v>1078.93066</v>
      </c>
      <c r="AH29" s="17">
        <f t="shared" si="15"/>
        <v>1078.9219600000001</v>
      </c>
      <c r="AI29" s="17">
        <f t="shared" si="15"/>
        <v>1079.12617</v>
      </c>
      <c r="AJ29" s="17">
        <f t="shared" si="15"/>
        <v>1078.9543699999999</v>
      </c>
      <c r="AK29" s="17">
        <f t="shared" si="15"/>
        <v>1078.95228</v>
      </c>
      <c r="AL29" s="17">
        <f t="shared" si="15"/>
        <v>1078.95228</v>
      </c>
      <c r="AM29" s="17">
        <f t="shared" si="15"/>
        <v>1078.95228</v>
      </c>
      <c r="AN29" s="17">
        <f t="shared" si="15"/>
        <v>1078.9522899999999</v>
      </c>
      <c r="AO29" s="17">
        <f t="shared" si="15"/>
        <v>1078.9522899999999</v>
      </c>
      <c r="AP29" s="17">
        <f t="shared" si="15"/>
        <v>1078.9522899999999</v>
      </c>
      <c r="AQ29" s="17">
        <f t="shared" si="15"/>
        <v>1111.61896</v>
      </c>
      <c r="AR29" s="17">
        <f t="shared" si="15"/>
        <v>1148.6728799999999</v>
      </c>
      <c r="AS29" s="17">
        <f t="shared" si="15"/>
        <v>1148.6782799999999</v>
      </c>
      <c r="AT29" s="17">
        <f t="shared" si="15"/>
        <v>1148.67498</v>
      </c>
      <c r="AU29" s="17">
        <f t="shared" si="15"/>
        <v>1148.7861</v>
      </c>
      <c r="AV29" s="17">
        <f t="shared" si="15"/>
        <v>1148.7027599999999</v>
      </c>
      <c r="AW29" s="17">
        <f t="shared" si="15"/>
        <v>1148.7020499999999</v>
      </c>
      <c r="AX29" s="17">
        <f t="shared" si="15"/>
        <v>1148.7208799999999</v>
      </c>
      <c r="AY29" s="17">
        <f t="shared" si="15"/>
        <v>1148.7027599999999</v>
      </c>
      <c r="AZ29" s="17">
        <f t="shared" si="15"/>
        <v>1148.7027599999999</v>
      </c>
      <c r="BA29" s="17">
        <f t="shared" si="15"/>
        <v>1148.7027599999999</v>
      </c>
      <c r="BB29" s="17">
        <f t="shared" si="15"/>
        <v>1148.7027599999999</v>
      </c>
      <c r="BC29" s="17">
        <f t="shared" si="15"/>
        <v>1148.7027599999999</v>
      </c>
      <c r="BD29" s="17">
        <f t="shared" si="15"/>
        <v>1148.7027599999999</v>
      </c>
      <c r="BE29" s="17">
        <f t="shared" si="15"/>
        <v>1148.7027599999999</v>
      </c>
      <c r="BF29" s="17">
        <f t="shared" si="15"/>
        <v>1138.4527599999999</v>
      </c>
      <c r="BG29" s="17">
        <f t="shared" si="15"/>
        <v>1148.7027599999999</v>
      </c>
      <c r="BH29" s="17">
        <f t="shared" si="15"/>
        <v>1148.7027599999999</v>
      </c>
      <c r="BI29" s="17">
        <f t="shared" si="15"/>
        <v>1148.7027599999999</v>
      </c>
      <c r="BJ29" s="17">
        <f t="shared" si="15"/>
        <v>1148.7027599999999</v>
      </c>
      <c r="BK29" s="17">
        <f t="shared" si="15"/>
        <v>1148.7027599999999</v>
      </c>
      <c r="BL29" s="17">
        <f t="shared" si="15"/>
        <v>1148.7027599999999</v>
      </c>
      <c r="BM29" s="17">
        <f t="shared" si="15"/>
        <v>1148.7027599999999</v>
      </c>
      <c r="BN29" s="17">
        <f t="shared" si="15"/>
        <v>1148.7027599999999</v>
      </c>
      <c r="BO29" s="17">
        <f t="shared" si="15"/>
        <v>1148.7027599999999</v>
      </c>
      <c r="BP29" s="17">
        <f t="shared" si="15"/>
        <v>1148.7027599999999</v>
      </c>
      <c r="BQ29" s="17">
        <f t="shared" si="15"/>
        <v>1148.7027599999999</v>
      </c>
      <c r="BR29" s="17">
        <f t="shared" si="15"/>
        <v>1148.7027599999999</v>
      </c>
      <c r="BS29" s="17">
        <f t="shared" si="15"/>
        <v>1148.7027599999999</v>
      </c>
      <c r="BT29" s="17">
        <f t="shared" si="15"/>
        <v>1148.7027599999999</v>
      </c>
      <c r="BU29" s="17">
        <f t="shared" si="15"/>
        <v>1148.7027599999999</v>
      </c>
      <c r="BV29" s="17">
        <f t="shared" si="15"/>
        <v>1148.7027599999999</v>
      </c>
      <c r="BW29" s="17">
        <f t="shared" si="15"/>
        <v>1148.7027599999999</v>
      </c>
      <c r="BX29" s="17">
        <f t="shared" si="15"/>
        <v>1148.7027599999999</v>
      </c>
      <c r="BY29" s="17">
        <f t="shared" si="15"/>
        <v>1148.7027599999999</v>
      </c>
      <c r="BZ29" s="17">
        <f t="shared" si="15"/>
        <v>1148.7027599999999</v>
      </c>
      <c r="CA29" s="17">
        <f t="shared" si="15"/>
        <v>1003.6429899999999</v>
      </c>
      <c r="CB29" s="17">
        <f t="shared" si="15"/>
        <v>1067.8497499999999</v>
      </c>
      <c r="CC29" s="17">
        <f t="shared" si="15"/>
        <v>1130.6453000000001</v>
      </c>
      <c r="CD29" s="17">
        <f t="shared" si="15"/>
        <v>1130.6474400000002</v>
      </c>
      <c r="CE29" s="17">
        <f t="shared" si="15"/>
        <v>1131.0827900000002</v>
      </c>
      <c r="CF29" s="17">
        <f t="shared" si="15"/>
        <v>1212.0922300000002</v>
      </c>
      <c r="CG29" s="17">
        <f t="shared" si="15"/>
        <v>1224.4784799999998</v>
      </c>
      <c r="CH29" s="17">
        <f t="shared" si="15"/>
        <v>1224.4997099999998</v>
      </c>
      <c r="CI29" s="17">
        <f t="shared" si="15"/>
        <v>1224.4722699999998</v>
      </c>
      <c r="CJ29" s="17">
        <f t="shared" si="15"/>
        <v>1224.4722699999998</v>
      </c>
      <c r="CK29" s="17">
        <f t="shared" si="15"/>
        <v>1224.7017899999996</v>
      </c>
      <c r="CL29" s="17">
        <f t="shared" si="15"/>
        <v>1224.5103099999997</v>
      </c>
      <c r="CM29" s="17">
        <f t="shared" si="15"/>
        <v>1224.5103099999997</v>
      </c>
      <c r="CN29" s="17">
        <f t="shared" si="15"/>
        <v>1224.5103099999997</v>
      </c>
      <c r="CO29" s="17">
        <f t="shared" si="15"/>
        <v>1244.6491999999998</v>
      </c>
      <c r="CP29" s="17">
        <f t="shared" si="15"/>
        <v>1301.5688400000001</v>
      </c>
      <c r="CQ29" s="17">
        <f t="shared" si="15"/>
        <v>1301.6305399999999</v>
      </c>
      <c r="CR29" s="17">
        <f t="shared" si="15"/>
        <v>1301.60004</v>
      </c>
      <c r="CS29" s="17">
        <f t="shared" ref="CS29:ED29" si="16">SUM(CS26:CS28)</f>
        <v>1301.60004</v>
      </c>
      <c r="CT29" s="17">
        <f t="shared" si="16"/>
        <v>1301.79844</v>
      </c>
      <c r="CU29" s="17">
        <f t="shared" si="16"/>
        <v>1301.64014</v>
      </c>
      <c r="CV29" s="17">
        <f t="shared" si="16"/>
        <v>1301.64014</v>
      </c>
      <c r="CW29" s="17">
        <f t="shared" si="16"/>
        <v>1296.61679</v>
      </c>
      <c r="CX29" s="17">
        <f t="shared" si="16"/>
        <v>1301.6414199999999</v>
      </c>
      <c r="CY29" s="17">
        <f t="shared" si="16"/>
        <v>1301.6414199999999</v>
      </c>
      <c r="CZ29" s="17">
        <f t="shared" si="16"/>
        <v>1301.6414199999999</v>
      </c>
      <c r="DA29" s="17">
        <f t="shared" si="16"/>
        <v>1301.6414199999999</v>
      </c>
      <c r="DB29" s="17">
        <f t="shared" si="16"/>
        <v>1301.6414199999999</v>
      </c>
      <c r="DC29" s="17">
        <f t="shared" si="16"/>
        <v>1301.6414199999999</v>
      </c>
      <c r="DD29" s="17">
        <f t="shared" si="16"/>
        <v>1301.6414199999999</v>
      </c>
      <c r="DE29" s="17">
        <f t="shared" si="16"/>
        <v>1301.6414199999999</v>
      </c>
      <c r="DF29" s="17">
        <f t="shared" si="16"/>
        <v>1301.6414199999999</v>
      </c>
      <c r="DG29" s="17">
        <f t="shared" si="16"/>
        <v>1301.6414199999999</v>
      </c>
      <c r="DH29" s="17">
        <f t="shared" si="16"/>
        <v>1301.6414199999999</v>
      </c>
      <c r="DI29" s="17">
        <f t="shared" si="16"/>
        <v>1632.82025</v>
      </c>
      <c r="DJ29" s="17">
        <f t="shared" si="16"/>
        <v>1877.1408699999999</v>
      </c>
      <c r="DK29" s="17">
        <f t="shared" si="16"/>
        <v>1668.6630699999998</v>
      </c>
      <c r="DL29" s="17">
        <f t="shared" si="16"/>
        <v>1775.9412600000001</v>
      </c>
      <c r="DM29" s="17">
        <f t="shared" si="16"/>
        <v>1667.9027899999999</v>
      </c>
      <c r="DN29" s="17">
        <f t="shared" si="16"/>
        <v>1667.9027899999999</v>
      </c>
      <c r="DO29" s="17">
        <f t="shared" si="16"/>
        <v>1574.4652899999999</v>
      </c>
      <c r="DP29" s="17">
        <f t="shared" si="16"/>
        <v>1667.9027899999999</v>
      </c>
      <c r="DQ29" s="17">
        <f t="shared" si="16"/>
        <v>1669.36869</v>
      </c>
      <c r="DR29" s="17">
        <f t="shared" si="16"/>
        <v>1667.9027899999999</v>
      </c>
      <c r="DS29" s="17">
        <f t="shared" si="16"/>
        <v>1667.9027899999999</v>
      </c>
      <c r="DT29" s="17">
        <f t="shared" si="16"/>
        <v>1667.9027899999999</v>
      </c>
      <c r="DU29" s="17">
        <f t="shared" si="16"/>
        <v>1667.9027899999999</v>
      </c>
      <c r="DV29" s="17">
        <f t="shared" si="16"/>
        <v>1667.9027899999999</v>
      </c>
      <c r="DW29" s="17">
        <f t="shared" si="16"/>
        <v>1667.9027899999999</v>
      </c>
      <c r="DX29" s="17">
        <f t="shared" si="16"/>
        <v>1667.9027899999999</v>
      </c>
      <c r="DY29" s="17">
        <f t="shared" si="16"/>
        <v>1841.1491899999999</v>
      </c>
      <c r="DZ29" s="17">
        <f t="shared" si="16"/>
        <v>1955.2105199999999</v>
      </c>
      <c r="EA29" s="17">
        <f t="shared" si="16"/>
        <v>1926.61646</v>
      </c>
      <c r="EB29" s="17">
        <f t="shared" si="16"/>
        <v>1898.85041</v>
      </c>
      <c r="EC29" s="17">
        <f t="shared" si="16"/>
        <v>1897.9189200000001</v>
      </c>
      <c r="ED29" s="17">
        <f t="shared" si="16"/>
        <v>1897.9189200000001</v>
      </c>
    </row>
    <row r="30" spans="1:143">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row>
    <row r="31" spans="1:143">
      <c r="B31" s="17" t="s">
        <v>31</v>
      </c>
      <c r="C31" s="17"/>
      <c r="D31" s="17"/>
      <c r="E31" s="17"/>
      <c r="F31" s="17"/>
      <c r="G31" s="17"/>
      <c r="H31" s="17"/>
      <c r="I31" s="17"/>
      <c r="J31" s="17"/>
      <c r="K31" s="17"/>
      <c r="L31" s="17"/>
      <c r="M31" s="17"/>
      <c r="N31" s="17">
        <f t="shared" ref="N31:AX31" si="17">SUM(C29:N29)</f>
        <v>14173.750989999999</v>
      </c>
      <c r="O31" s="17">
        <f t="shared" si="17"/>
        <v>13961.00288</v>
      </c>
      <c r="P31" s="17">
        <f t="shared" si="17"/>
        <v>13748.459799999999</v>
      </c>
      <c r="Q31" s="17">
        <f t="shared" si="17"/>
        <v>13535.916719999999</v>
      </c>
      <c r="R31" s="17">
        <f t="shared" si="17"/>
        <v>13323.37364</v>
      </c>
      <c r="S31" s="17">
        <f t="shared" si="17"/>
        <v>13110.83056</v>
      </c>
      <c r="T31" s="17">
        <f t="shared" si="17"/>
        <v>12804.580540000001</v>
      </c>
      <c r="U31" s="17">
        <f t="shared" si="17"/>
        <v>12554.882630000002</v>
      </c>
      <c r="V31" s="17">
        <f t="shared" si="17"/>
        <v>12457.453160000003</v>
      </c>
      <c r="W31" s="17">
        <f t="shared" si="17"/>
        <v>12513.391890000003</v>
      </c>
      <c r="X31" s="17">
        <f t="shared" si="17"/>
        <v>12508.042530000004</v>
      </c>
      <c r="Y31" s="17">
        <f t="shared" si="17"/>
        <v>12508.083740000004</v>
      </c>
      <c r="Z31" s="17">
        <f t="shared" si="17"/>
        <v>12508.030700000001</v>
      </c>
      <c r="AA31" s="17">
        <f t="shared" si="17"/>
        <v>12508.240540000003</v>
      </c>
      <c r="AB31" s="17">
        <f t="shared" si="17"/>
        <v>12508.245350000001</v>
      </c>
      <c r="AC31" s="17">
        <f t="shared" si="17"/>
        <v>12508.250160000003</v>
      </c>
      <c r="AD31" s="17">
        <f t="shared" si="17"/>
        <v>12508.254970000002</v>
      </c>
      <c r="AE31" s="17">
        <f t="shared" si="17"/>
        <v>12526.399160000001</v>
      </c>
      <c r="AF31" s="17">
        <f t="shared" si="17"/>
        <v>12563.10714</v>
      </c>
      <c r="AG31" s="17">
        <f t="shared" si="17"/>
        <v>12599.689679999999</v>
      </c>
      <c r="AH31" s="17">
        <f t="shared" si="17"/>
        <v>12636.241189999999</v>
      </c>
      <c r="AI31" s="17">
        <f t="shared" si="17"/>
        <v>12672.982229999998</v>
      </c>
      <c r="AJ31" s="17">
        <f t="shared" si="17"/>
        <v>12709.585389999998</v>
      </c>
      <c r="AK31" s="17">
        <f t="shared" si="17"/>
        <v>12746.186459999997</v>
      </c>
      <c r="AL31" s="17">
        <f t="shared" si="17"/>
        <v>12782.787529999998</v>
      </c>
      <c r="AM31" s="17">
        <f t="shared" si="17"/>
        <v>12819.388599999997</v>
      </c>
      <c r="AN31" s="17">
        <f t="shared" si="17"/>
        <v>12855.989679999997</v>
      </c>
      <c r="AO31" s="17">
        <f t="shared" si="17"/>
        <v>12892.590759999995</v>
      </c>
      <c r="AP31" s="17">
        <f t="shared" si="17"/>
        <v>12929.191839999996</v>
      </c>
      <c r="AQ31" s="17">
        <f t="shared" si="17"/>
        <v>12980.320209999996</v>
      </c>
      <c r="AR31" s="17">
        <f t="shared" si="17"/>
        <v>13049.938709999997</v>
      </c>
      <c r="AS31" s="17">
        <f t="shared" si="17"/>
        <v>13119.686329999999</v>
      </c>
      <c r="AT31" s="17">
        <f t="shared" si="17"/>
        <v>13189.439349999999</v>
      </c>
      <c r="AU31" s="17">
        <f t="shared" si="17"/>
        <v>13259.09928</v>
      </c>
      <c r="AV31" s="17">
        <f t="shared" si="17"/>
        <v>13328.847669999999</v>
      </c>
      <c r="AW31" s="17">
        <f t="shared" si="17"/>
        <v>13398.59744</v>
      </c>
      <c r="AX31" s="17">
        <f t="shared" si="17"/>
        <v>13468.366040000001</v>
      </c>
      <c r="AY31" s="17">
        <f>SUM(AN29:AY29)</f>
        <v>13538.11652</v>
      </c>
      <c r="AZ31" s="17">
        <f>SUM(AO29:AZ29)</f>
        <v>13607.866989999999</v>
      </c>
      <c r="BA31" s="17">
        <f>SUM(AP29:BA29)</f>
        <v>13677.617460000001</v>
      </c>
      <c r="BB31" s="17">
        <f t="shared" ref="BB31:DM31" si="18">SUM(AQ29:BB29)</f>
        <v>13747.36793</v>
      </c>
      <c r="BC31" s="17">
        <f t="shared" si="18"/>
        <v>13784.451730000001</v>
      </c>
      <c r="BD31" s="17">
        <f t="shared" si="18"/>
        <v>13784.481610000001</v>
      </c>
      <c r="BE31" s="17">
        <f t="shared" si="18"/>
        <v>13784.506090000001</v>
      </c>
      <c r="BF31" s="17">
        <f t="shared" si="18"/>
        <v>13774.283870000001</v>
      </c>
      <c r="BG31" s="17">
        <f t="shared" si="18"/>
        <v>13774.20053</v>
      </c>
      <c r="BH31" s="17">
        <f t="shared" si="18"/>
        <v>13774.20053</v>
      </c>
      <c r="BI31" s="17">
        <f t="shared" si="18"/>
        <v>13774.20124</v>
      </c>
      <c r="BJ31" s="17">
        <f t="shared" si="18"/>
        <v>13774.18312</v>
      </c>
      <c r="BK31" s="17">
        <f t="shared" si="18"/>
        <v>13774.18312</v>
      </c>
      <c r="BL31" s="17">
        <f t="shared" si="18"/>
        <v>13774.18312</v>
      </c>
      <c r="BM31" s="17">
        <f t="shared" si="18"/>
        <v>13774.18312</v>
      </c>
      <c r="BN31" s="17">
        <f t="shared" si="18"/>
        <v>13774.18312</v>
      </c>
      <c r="BO31" s="17">
        <f t="shared" si="18"/>
        <v>13774.18312</v>
      </c>
      <c r="BP31" s="17">
        <f t="shared" si="18"/>
        <v>13774.18312</v>
      </c>
      <c r="BQ31" s="17">
        <f t="shared" si="18"/>
        <v>13774.18312</v>
      </c>
      <c r="BR31" s="17">
        <f t="shared" si="18"/>
        <v>13784.43312</v>
      </c>
      <c r="BS31" s="17">
        <f t="shared" si="18"/>
        <v>13784.43312</v>
      </c>
      <c r="BT31" s="17">
        <f t="shared" si="18"/>
        <v>13784.43312</v>
      </c>
      <c r="BU31" s="17">
        <f t="shared" si="18"/>
        <v>13784.43312</v>
      </c>
      <c r="BV31" s="17">
        <f t="shared" si="18"/>
        <v>13784.43312</v>
      </c>
      <c r="BW31" s="17">
        <f>SUM(BL29:BW29)</f>
        <v>13784.43312</v>
      </c>
      <c r="BX31" s="17">
        <f t="shared" si="18"/>
        <v>13784.43312</v>
      </c>
      <c r="BY31" s="17">
        <f t="shared" si="18"/>
        <v>13784.43312</v>
      </c>
      <c r="BZ31" s="17">
        <f t="shared" si="18"/>
        <v>13784.43312</v>
      </c>
      <c r="CA31" s="17">
        <f t="shared" si="18"/>
        <v>13639.37335</v>
      </c>
      <c r="CB31" s="26">
        <f t="shared" si="18"/>
        <v>13558.520339999999</v>
      </c>
      <c r="CC31" s="26">
        <f t="shared" si="18"/>
        <v>13540.462879999999</v>
      </c>
      <c r="CD31" s="26">
        <f t="shared" si="18"/>
        <v>13522.40756</v>
      </c>
      <c r="CE31" s="26">
        <f t="shared" si="18"/>
        <v>13504.78759</v>
      </c>
      <c r="CF31" s="26">
        <f t="shared" si="18"/>
        <v>13568.177060000002</v>
      </c>
      <c r="CG31" s="26">
        <f t="shared" si="18"/>
        <v>13643.952780000001</v>
      </c>
      <c r="CH31" s="26">
        <f t="shared" si="18"/>
        <v>13719.749730000001</v>
      </c>
      <c r="CI31" s="26">
        <f t="shared" si="18"/>
        <v>13795.519240000001</v>
      </c>
      <c r="CJ31" s="26">
        <f t="shared" si="18"/>
        <v>13871.288750000002</v>
      </c>
      <c r="CK31" s="26">
        <f t="shared" si="18"/>
        <v>13947.287780000001</v>
      </c>
      <c r="CL31" s="26">
        <f t="shared" si="18"/>
        <v>14023.09533</v>
      </c>
      <c r="CM31" s="26">
        <f t="shared" si="18"/>
        <v>14243.962649999999</v>
      </c>
      <c r="CN31" s="26">
        <f t="shared" si="18"/>
        <v>14400.623209999998</v>
      </c>
      <c r="CO31" s="26">
        <f t="shared" si="18"/>
        <v>14514.627109999998</v>
      </c>
      <c r="CP31" s="26">
        <f t="shared" si="18"/>
        <v>14685.548509999999</v>
      </c>
      <c r="CQ31" s="26">
        <f t="shared" si="18"/>
        <v>14856.096259999998</v>
      </c>
      <c r="CR31" s="26">
        <f t="shared" si="18"/>
        <v>14945.604069999998</v>
      </c>
      <c r="CS31" s="26">
        <f t="shared" si="18"/>
        <v>15022.725629999995</v>
      </c>
      <c r="CT31" s="26">
        <f t="shared" si="18"/>
        <v>15100.024359999998</v>
      </c>
      <c r="CU31" s="26">
        <f t="shared" si="18"/>
        <v>15177.192229999997</v>
      </c>
      <c r="CV31" s="26">
        <f t="shared" si="18"/>
        <v>15254.360099999996</v>
      </c>
      <c r="CW31" s="26">
        <f t="shared" si="18"/>
        <v>15326.275099999997</v>
      </c>
      <c r="CX31" s="26">
        <f t="shared" si="18"/>
        <v>15403.406209999999</v>
      </c>
      <c r="CY31" s="26">
        <f t="shared" si="18"/>
        <v>15480.537319999999</v>
      </c>
      <c r="CZ31" s="26">
        <f t="shared" si="18"/>
        <v>15557.66843</v>
      </c>
      <c r="DA31" s="26">
        <f t="shared" si="18"/>
        <v>15614.66065</v>
      </c>
      <c r="DB31" s="26">
        <f t="shared" si="18"/>
        <v>15614.733229999998</v>
      </c>
      <c r="DC31" s="26">
        <f t="shared" si="18"/>
        <v>15614.74411</v>
      </c>
      <c r="DD31" s="26">
        <f t="shared" si="18"/>
        <v>15614.785489999998</v>
      </c>
      <c r="DE31" s="26">
        <f t="shared" si="18"/>
        <v>15614.826869999999</v>
      </c>
      <c r="DF31" s="26">
        <f t="shared" si="18"/>
        <v>15614.669849999998</v>
      </c>
      <c r="DG31" s="26">
        <f t="shared" si="18"/>
        <v>15614.671129999999</v>
      </c>
      <c r="DH31" s="26">
        <f t="shared" si="18"/>
        <v>15614.672409999999</v>
      </c>
      <c r="DI31" s="26">
        <f t="shared" si="18"/>
        <v>15950.87587</v>
      </c>
      <c r="DJ31" s="26">
        <f t="shared" si="18"/>
        <v>16526.375319999999</v>
      </c>
      <c r="DK31" s="26">
        <f t="shared" si="18"/>
        <v>16893.396969999998</v>
      </c>
      <c r="DL31" s="26">
        <f t="shared" si="18"/>
        <v>17367.696810000001</v>
      </c>
      <c r="DM31" s="26">
        <f t="shared" si="18"/>
        <v>17733.958179999998</v>
      </c>
      <c r="DN31" s="26">
        <f t="shared" ref="DN31:ED31" si="19">SUM(DC29:DN29)</f>
        <v>18100.219549999998</v>
      </c>
      <c r="DO31" s="26">
        <f t="shared" si="19"/>
        <v>18373.043419999998</v>
      </c>
      <c r="DP31" s="26">
        <f t="shared" si="19"/>
        <v>18739.304789999998</v>
      </c>
      <c r="DQ31" s="26">
        <f t="shared" si="19"/>
        <v>19107.032059999998</v>
      </c>
      <c r="DR31" s="26">
        <f t="shared" si="19"/>
        <v>19473.293430000002</v>
      </c>
      <c r="DS31" s="26">
        <f t="shared" si="19"/>
        <v>19839.554800000002</v>
      </c>
      <c r="DT31" s="26">
        <f t="shared" si="19"/>
        <v>20205.816169999998</v>
      </c>
      <c r="DU31" s="26">
        <f t="shared" si="19"/>
        <v>20240.898709999998</v>
      </c>
      <c r="DV31" s="26">
        <f t="shared" si="19"/>
        <v>20031.660629999998</v>
      </c>
      <c r="DW31" s="26">
        <f t="shared" si="19"/>
        <v>20030.90035</v>
      </c>
      <c r="DX31" s="26">
        <f t="shared" si="19"/>
        <v>19922.86188</v>
      </c>
      <c r="DY31" s="26">
        <f t="shared" si="19"/>
        <v>20096.10828</v>
      </c>
      <c r="DZ31" s="26">
        <f t="shared" si="19"/>
        <v>20383.416010000001</v>
      </c>
      <c r="EA31" s="26">
        <f t="shared" si="19"/>
        <v>20735.567180000002</v>
      </c>
      <c r="EB31" s="26">
        <f t="shared" si="19"/>
        <v>20966.514800000001</v>
      </c>
      <c r="EC31" s="26">
        <f t="shared" si="19"/>
        <v>21195.065029999998</v>
      </c>
      <c r="ED31" s="26">
        <f t="shared" si="19"/>
        <v>21425.081159999998</v>
      </c>
    </row>
    <row r="32" spans="1:143">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row>
    <row r="33" spans="1:134" ht="15">
      <c r="B33" s="2" t="s">
        <v>32</v>
      </c>
      <c r="N33" s="36"/>
      <c r="O33" s="36">
        <f t="shared" ref="O33:BZ33" si="20">ROUND(O31/O20,4)</f>
        <v>6.2E-2</v>
      </c>
      <c r="P33" s="36">
        <f t="shared" si="20"/>
        <v>6.0900000000000003E-2</v>
      </c>
      <c r="Q33" s="36">
        <f t="shared" si="20"/>
        <v>5.9799999999999999E-2</v>
      </c>
      <c r="R33" s="36">
        <f t="shared" si="20"/>
        <v>5.8700000000000002E-2</v>
      </c>
      <c r="S33" s="36">
        <f t="shared" si="20"/>
        <v>5.7599999999999998E-2</v>
      </c>
      <c r="T33" s="36">
        <f t="shared" si="20"/>
        <v>5.6099999999999997E-2</v>
      </c>
      <c r="U33" s="36">
        <f t="shared" si="20"/>
        <v>5.5399999999999998E-2</v>
      </c>
      <c r="V33" s="36">
        <f t="shared" si="20"/>
        <v>5.5399999999999998E-2</v>
      </c>
      <c r="W33" s="36">
        <f t="shared" si="20"/>
        <v>5.5199999999999999E-2</v>
      </c>
      <c r="X33" s="36">
        <f t="shared" si="20"/>
        <v>5.5100000000000003E-2</v>
      </c>
      <c r="Y33" s="36">
        <f t="shared" si="20"/>
        <v>5.5100000000000003E-2</v>
      </c>
      <c r="Z33" s="36">
        <f t="shared" si="20"/>
        <v>5.5100000000000003E-2</v>
      </c>
      <c r="AA33" s="36">
        <f t="shared" si="20"/>
        <v>5.5100000000000003E-2</v>
      </c>
      <c r="AB33" s="36">
        <f t="shared" si="20"/>
        <v>5.5100000000000003E-2</v>
      </c>
      <c r="AC33" s="36">
        <f t="shared" si="20"/>
        <v>5.5100000000000003E-2</v>
      </c>
      <c r="AD33" s="36">
        <f t="shared" si="20"/>
        <v>5.5100000000000003E-2</v>
      </c>
      <c r="AE33" s="36">
        <f t="shared" si="20"/>
        <v>5.4899999999999997E-2</v>
      </c>
      <c r="AF33" s="36">
        <f t="shared" si="20"/>
        <v>5.4899999999999997E-2</v>
      </c>
      <c r="AG33" s="36">
        <f t="shared" si="20"/>
        <v>5.4899999999999997E-2</v>
      </c>
      <c r="AH33" s="36">
        <f t="shared" si="20"/>
        <v>5.4800000000000001E-2</v>
      </c>
      <c r="AI33" s="36">
        <f t="shared" si="20"/>
        <v>5.4800000000000001E-2</v>
      </c>
      <c r="AJ33" s="36">
        <f t="shared" si="20"/>
        <v>5.4800000000000001E-2</v>
      </c>
      <c r="AK33" s="36">
        <f t="shared" si="20"/>
        <v>5.4699999999999999E-2</v>
      </c>
      <c r="AL33" s="36">
        <f t="shared" si="20"/>
        <v>5.4699999999999999E-2</v>
      </c>
      <c r="AM33" s="36">
        <f t="shared" si="20"/>
        <v>5.4699999999999999E-2</v>
      </c>
      <c r="AN33" s="36">
        <f t="shared" si="20"/>
        <v>5.4699999999999999E-2</v>
      </c>
      <c r="AO33" s="36">
        <f t="shared" si="20"/>
        <v>5.4600000000000003E-2</v>
      </c>
      <c r="AP33" s="36">
        <f t="shared" si="20"/>
        <v>5.4600000000000003E-2</v>
      </c>
      <c r="AQ33" s="36">
        <f t="shared" si="20"/>
        <v>5.4300000000000001E-2</v>
      </c>
      <c r="AR33" s="36">
        <f t="shared" si="20"/>
        <v>5.4199999999999998E-2</v>
      </c>
      <c r="AS33" s="36">
        <f t="shared" si="20"/>
        <v>5.4100000000000002E-2</v>
      </c>
      <c r="AT33" s="36">
        <f t="shared" si="20"/>
        <v>5.4100000000000002E-2</v>
      </c>
      <c r="AU33" s="36">
        <f t="shared" si="20"/>
        <v>5.3999999999999999E-2</v>
      </c>
      <c r="AV33" s="36">
        <f t="shared" si="20"/>
        <v>5.3900000000000003E-2</v>
      </c>
      <c r="AW33" s="36">
        <f t="shared" si="20"/>
        <v>5.3900000000000003E-2</v>
      </c>
      <c r="AX33" s="37">
        <f t="shared" si="20"/>
        <v>5.3800000000000001E-2</v>
      </c>
      <c r="AY33" s="37">
        <f t="shared" si="20"/>
        <v>5.3699999999999998E-2</v>
      </c>
      <c r="AZ33" s="37">
        <f t="shared" si="20"/>
        <v>5.3699999999999998E-2</v>
      </c>
      <c r="BA33" s="37">
        <f t="shared" si="20"/>
        <v>5.3600000000000002E-2</v>
      </c>
      <c r="BB33" s="37">
        <f t="shared" si="20"/>
        <v>5.3600000000000002E-2</v>
      </c>
      <c r="BC33" s="37">
        <f t="shared" si="20"/>
        <v>5.3400000000000003E-2</v>
      </c>
      <c r="BD33" s="37">
        <f t="shared" si="20"/>
        <v>5.3400000000000003E-2</v>
      </c>
      <c r="BE33" s="37">
        <f t="shared" si="20"/>
        <v>5.3400000000000003E-2</v>
      </c>
      <c r="BF33" s="37">
        <f t="shared" si="20"/>
        <v>5.33E-2</v>
      </c>
      <c r="BG33" s="37">
        <f t="shared" si="20"/>
        <v>5.33E-2</v>
      </c>
      <c r="BH33" s="37">
        <f t="shared" si="20"/>
        <v>5.33E-2</v>
      </c>
      <c r="BI33" s="37">
        <f t="shared" si="20"/>
        <v>5.33E-2</v>
      </c>
      <c r="BJ33" s="37">
        <f t="shared" si="20"/>
        <v>5.33E-2</v>
      </c>
      <c r="BK33" s="37">
        <f t="shared" si="20"/>
        <v>5.33E-2</v>
      </c>
      <c r="BL33" s="37">
        <f t="shared" si="20"/>
        <v>5.3199999999999997E-2</v>
      </c>
      <c r="BM33" s="37">
        <f t="shared" si="20"/>
        <v>5.3199999999999997E-2</v>
      </c>
      <c r="BN33" s="37">
        <f t="shared" si="20"/>
        <v>5.3199999999999997E-2</v>
      </c>
      <c r="BO33" s="37">
        <f t="shared" si="20"/>
        <v>5.3199999999999997E-2</v>
      </c>
      <c r="BP33" s="37">
        <f t="shared" si="20"/>
        <v>5.3199999999999997E-2</v>
      </c>
      <c r="BQ33" s="37">
        <f t="shared" si="20"/>
        <v>5.3199999999999997E-2</v>
      </c>
      <c r="BR33" s="37">
        <f t="shared" si="20"/>
        <v>5.3199999999999997E-2</v>
      </c>
      <c r="BS33" s="37">
        <f t="shared" si="20"/>
        <v>5.3199999999999997E-2</v>
      </c>
      <c r="BT33" s="37">
        <f t="shared" si="20"/>
        <v>5.3199999999999997E-2</v>
      </c>
      <c r="BU33" s="37">
        <f t="shared" si="20"/>
        <v>5.3199999999999997E-2</v>
      </c>
      <c r="BV33" s="37">
        <f t="shared" si="20"/>
        <v>5.3199999999999997E-2</v>
      </c>
      <c r="BW33" s="37">
        <f t="shared" si="20"/>
        <v>5.3199999999999997E-2</v>
      </c>
      <c r="BX33" s="37">
        <f t="shared" si="20"/>
        <v>5.3199999999999997E-2</v>
      </c>
      <c r="BY33" s="37">
        <f t="shared" si="20"/>
        <v>5.3199999999999997E-2</v>
      </c>
      <c r="BZ33" s="37">
        <f t="shared" si="20"/>
        <v>5.3199999999999997E-2</v>
      </c>
      <c r="CA33" s="37">
        <f t="shared" ref="CA33:ED33" si="21">ROUND(CA31/CA20,4)</f>
        <v>5.3400000000000003E-2</v>
      </c>
      <c r="CB33" s="38">
        <f t="shared" si="21"/>
        <v>5.2699999999999997E-2</v>
      </c>
      <c r="CC33" s="38">
        <f t="shared" si="21"/>
        <v>5.2200000000000003E-2</v>
      </c>
      <c r="CD33" s="38">
        <f t="shared" si="21"/>
        <v>5.1799999999999999E-2</v>
      </c>
      <c r="CE33" s="38">
        <f t="shared" si="21"/>
        <v>5.1299999999999998E-2</v>
      </c>
      <c r="CF33" s="38">
        <f t="shared" si="21"/>
        <v>5.0900000000000001E-2</v>
      </c>
      <c r="CG33" s="38">
        <f t="shared" si="21"/>
        <v>5.04E-2</v>
      </c>
      <c r="CH33" s="38">
        <f t="shared" si="21"/>
        <v>0.05</v>
      </c>
      <c r="CI33" s="38">
        <f t="shared" si="21"/>
        <v>4.9599999999999998E-2</v>
      </c>
      <c r="CJ33" s="38">
        <f t="shared" si="21"/>
        <v>4.9200000000000001E-2</v>
      </c>
      <c r="CK33" s="38">
        <f t="shared" si="21"/>
        <v>4.8899999999999999E-2</v>
      </c>
      <c r="CL33" s="38">
        <f t="shared" si="21"/>
        <v>4.8500000000000001E-2</v>
      </c>
      <c r="CM33" s="38">
        <f t="shared" si="21"/>
        <v>4.8599999999999997E-2</v>
      </c>
      <c r="CN33" s="38">
        <f t="shared" si="21"/>
        <v>4.7899999999999998E-2</v>
      </c>
      <c r="CO33" s="38">
        <f t="shared" si="21"/>
        <v>4.7699999999999999E-2</v>
      </c>
      <c r="CP33" s="38">
        <f t="shared" si="21"/>
        <v>4.7699999999999999E-2</v>
      </c>
      <c r="CQ33" s="38">
        <f t="shared" si="21"/>
        <v>4.7600000000000003E-2</v>
      </c>
      <c r="CR33" s="38">
        <f t="shared" si="21"/>
        <v>4.7300000000000002E-2</v>
      </c>
      <c r="CS33" s="38">
        <f t="shared" si="21"/>
        <v>4.7300000000000002E-2</v>
      </c>
      <c r="CT33" s="38">
        <f t="shared" si="21"/>
        <v>4.7300000000000002E-2</v>
      </c>
      <c r="CU33" s="38">
        <f t="shared" si="21"/>
        <v>4.7199999999999999E-2</v>
      </c>
      <c r="CV33" s="38">
        <f t="shared" si="21"/>
        <v>4.7199999999999999E-2</v>
      </c>
      <c r="CW33" s="38">
        <f t="shared" si="21"/>
        <v>4.7100000000000003E-2</v>
      </c>
      <c r="CX33" s="38">
        <f t="shared" si="21"/>
        <v>4.7100000000000003E-2</v>
      </c>
      <c r="CY33" s="38">
        <f t="shared" si="21"/>
        <v>4.7100000000000003E-2</v>
      </c>
      <c r="CZ33" s="38">
        <f t="shared" si="21"/>
        <v>4.7E-2</v>
      </c>
      <c r="DA33" s="38">
        <f t="shared" si="21"/>
        <v>4.6899999999999997E-2</v>
      </c>
      <c r="DB33" s="38">
        <f t="shared" si="21"/>
        <v>4.6899999999999997E-2</v>
      </c>
      <c r="DC33" s="38">
        <f t="shared" si="21"/>
        <v>4.6899999999999997E-2</v>
      </c>
      <c r="DD33" s="38">
        <f t="shared" si="21"/>
        <v>4.6899999999999997E-2</v>
      </c>
      <c r="DE33" s="38">
        <f t="shared" si="21"/>
        <v>4.6899999999999997E-2</v>
      </c>
      <c r="DF33" s="38">
        <f t="shared" si="21"/>
        <v>4.6899999999999997E-2</v>
      </c>
      <c r="DG33" s="38">
        <f t="shared" si="21"/>
        <v>4.6899999999999997E-2</v>
      </c>
      <c r="DH33" s="38">
        <f t="shared" si="21"/>
        <v>4.6899999999999997E-2</v>
      </c>
      <c r="DI33" s="38">
        <f t="shared" si="21"/>
        <v>4.5499999999999999E-2</v>
      </c>
      <c r="DJ33" s="38">
        <f t="shared" si="21"/>
        <v>4.4900000000000002E-2</v>
      </c>
      <c r="DK33" s="38">
        <f t="shared" si="21"/>
        <v>4.4299999999999999E-2</v>
      </c>
      <c r="DL33" s="38">
        <f t="shared" si="21"/>
        <v>4.3900000000000002E-2</v>
      </c>
      <c r="DM33" s="38">
        <f t="shared" si="21"/>
        <v>4.3299999999999998E-2</v>
      </c>
      <c r="DN33" s="38">
        <f t="shared" si="21"/>
        <v>4.2799999999999998E-2</v>
      </c>
      <c r="DO33" s="38">
        <f t="shared" si="21"/>
        <v>4.2000000000000003E-2</v>
      </c>
      <c r="DP33" s="38">
        <f t="shared" si="21"/>
        <v>4.1500000000000002E-2</v>
      </c>
      <c r="DQ33" s="38">
        <f t="shared" si="21"/>
        <v>4.1099999999999998E-2</v>
      </c>
      <c r="DR33" s="38">
        <f t="shared" si="21"/>
        <v>4.07E-2</v>
      </c>
      <c r="DS33" s="38">
        <f t="shared" si="21"/>
        <v>4.0300000000000002E-2</v>
      </c>
      <c r="DT33" s="38">
        <f t="shared" si="21"/>
        <v>3.9899999999999998E-2</v>
      </c>
      <c r="DU33" s="38">
        <f t="shared" si="21"/>
        <v>3.8899999999999997E-2</v>
      </c>
      <c r="DV33" s="38">
        <f t="shared" si="21"/>
        <v>3.8699999999999998E-2</v>
      </c>
      <c r="DW33" s="38">
        <f t="shared" si="21"/>
        <v>3.9E-2</v>
      </c>
      <c r="DX33" s="38">
        <f t="shared" si="21"/>
        <v>3.8800000000000001E-2</v>
      </c>
      <c r="DY33" s="38">
        <f t="shared" si="21"/>
        <v>3.8699999999999998E-2</v>
      </c>
      <c r="DZ33" s="38">
        <f t="shared" si="21"/>
        <v>3.8800000000000001E-2</v>
      </c>
      <c r="EA33" s="38">
        <f t="shared" si="21"/>
        <v>3.9199999999999999E-2</v>
      </c>
      <c r="EB33" s="38">
        <f t="shared" si="21"/>
        <v>3.9399999999999998E-2</v>
      </c>
      <c r="EC33" s="38">
        <f t="shared" si="21"/>
        <v>3.95E-2</v>
      </c>
      <c r="ED33" s="38">
        <f t="shared" si="21"/>
        <v>3.9699999999999999E-2</v>
      </c>
    </row>
    <row r="34" spans="1:134">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row>
    <row r="35" spans="1:134" ht="15">
      <c r="B35" s="2" t="s">
        <v>33</v>
      </c>
      <c r="N35" s="36"/>
      <c r="O35" s="36">
        <f t="shared" ref="O35:BZ35" si="22">ROUND(O31/O18,4)</f>
        <v>6.1600000000000002E-2</v>
      </c>
      <c r="P35" s="36">
        <f t="shared" si="22"/>
        <v>6.0600000000000001E-2</v>
      </c>
      <c r="Q35" s="36">
        <f t="shared" si="22"/>
        <v>5.9700000000000003E-2</v>
      </c>
      <c r="R35" s="36">
        <f t="shared" si="22"/>
        <v>5.8700000000000002E-2</v>
      </c>
      <c r="S35" s="36">
        <f t="shared" si="22"/>
        <v>5.7799999999999997E-2</v>
      </c>
      <c r="T35" s="36">
        <f t="shared" si="22"/>
        <v>5.6399999999999999E-2</v>
      </c>
      <c r="U35" s="36">
        <f t="shared" si="22"/>
        <v>5.5300000000000002E-2</v>
      </c>
      <c r="V35" s="36">
        <f t="shared" si="22"/>
        <v>5.4899999999999997E-2</v>
      </c>
      <c r="W35" s="36">
        <f t="shared" si="22"/>
        <v>5.5100000000000003E-2</v>
      </c>
      <c r="X35" s="36">
        <f t="shared" si="22"/>
        <v>5.5100000000000003E-2</v>
      </c>
      <c r="Y35" s="36">
        <f t="shared" si="22"/>
        <v>5.5E-2</v>
      </c>
      <c r="Z35" s="36">
        <f t="shared" si="22"/>
        <v>5.5E-2</v>
      </c>
      <c r="AA35" s="36">
        <f t="shared" si="22"/>
        <v>5.5E-2</v>
      </c>
      <c r="AB35" s="36">
        <f t="shared" si="22"/>
        <v>5.5E-2</v>
      </c>
      <c r="AC35" s="36">
        <f t="shared" si="22"/>
        <v>5.5E-2</v>
      </c>
      <c r="AD35" s="36">
        <f t="shared" si="22"/>
        <v>5.5E-2</v>
      </c>
      <c r="AE35" s="36">
        <f t="shared" si="22"/>
        <v>5.28E-2</v>
      </c>
      <c r="AF35" s="36">
        <f t="shared" si="22"/>
        <v>5.2900000000000003E-2</v>
      </c>
      <c r="AG35" s="36">
        <f t="shared" si="22"/>
        <v>5.3100000000000001E-2</v>
      </c>
      <c r="AH35" s="36">
        <f t="shared" si="22"/>
        <v>5.3199999999999997E-2</v>
      </c>
      <c r="AI35" s="36">
        <f t="shared" si="22"/>
        <v>5.33E-2</v>
      </c>
      <c r="AJ35" s="36">
        <f t="shared" si="22"/>
        <v>5.3499999999999999E-2</v>
      </c>
      <c r="AK35" s="36">
        <f t="shared" si="22"/>
        <v>5.3600000000000002E-2</v>
      </c>
      <c r="AL35" s="36">
        <f t="shared" si="22"/>
        <v>5.3800000000000001E-2</v>
      </c>
      <c r="AM35" s="36">
        <f t="shared" si="22"/>
        <v>5.3900000000000003E-2</v>
      </c>
      <c r="AN35" s="36">
        <f t="shared" si="22"/>
        <v>5.4100000000000002E-2</v>
      </c>
      <c r="AO35" s="36">
        <f t="shared" si="22"/>
        <v>5.4199999999999998E-2</v>
      </c>
      <c r="AP35" s="36">
        <f t="shared" si="22"/>
        <v>5.4300000000000001E-2</v>
      </c>
      <c r="AQ35" s="36">
        <f t="shared" si="22"/>
        <v>5.0299999999999997E-2</v>
      </c>
      <c r="AR35" s="36">
        <f t="shared" si="22"/>
        <v>5.0599999999999999E-2</v>
      </c>
      <c r="AS35" s="36">
        <f t="shared" si="22"/>
        <v>5.0799999999999998E-2</v>
      </c>
      <c r="AT35" s="36">
        <f t="shared" si="22"/>
        <v>5.11E-2</v>
      </c>
      <c r="AU35" s="36">
        <f t="shared" si="22"/>
        <v>5.1400000000000001E-2</v>
      </c>
      <c r="AV35" s="36">
        <f t="shared" si="22"/>
        <v>5.16E-2</v>
      </c>
      <c r="AW35" s="36">
        <f t="shared" si="22"/>
        <v>5.1900000000000002E-2</v>
      </c>
      <c r="AX35" s="37">
        <f t="shared" si="22"/>
        <v>5.21E-2</v>
      </c>
      <c r="AY35" s="37">
        <f t="shared" si="22"/>
        <v>5.2400000000000002E-2</v>
      </c>
      <c r="AZ35" s="37">
        <f t="shared" si="22"/>
        <v>5.2699999999999997E-2</v>
      </c>
      <c r="BA35" s="37">
        <f t="shared" si="22"/>
        <v>5.2900000000000003E-2</v>
      </c>
      <c r="BB35" s="37">
        <f t="shared" si="22"/>
        <v>5.3199999999999997E-2</v>
      </c>
      <c r="BC35" s="37">
        <f t="shared" si="22"/>
        <v>5.33E-2</v>
      </c>
      <c r="BD35" s="37">
        <f t="shared" si="22"/>
        <v>5.33E-2</v>
      </c>
      <c r="BE35" s="37">
        <f t="shared" si="22"/>
        <v>5.33E-2</v>
      </c>
      <c r="BF35" s="37">
        <f t="shared" si="22"/>
        <v>5.3199999999999997E-2</v>
      </c>
      <c r="BG35" s="37">
        <f t="shared" si="22"/>
        <v>5.3199999999999997E-2</v>
      </c>
      <c r="BH35" s="37">
        <f t="shared" si="22"/>
        <v>5.3199999999999997E-2</v>
      </c>
      <c r="BI35" s="37">
        <f t="shared" si="22"/>
        <v>5.3199999999999997E-2</v>
      </c>
      <c r="BJ35" s="37">
        <f t="shared" si="22"/>
        <v>5.3199999999999997E-2</v>
      </c>
      <c r="BK35" s="37">
        <f t="shared" si="22"/>
        <v>5.3199999999999997E-2</v>
      </c>
      <c r="BL35" s="37">
        <f t="shared" si="22"/>
        <v>5.3199999999999997E-2</v>
      </c>
      <c r="BM35" s="37">
        <f t="shared" si="22"/>
        <v>5.3199999999999997E-2</v>
      </c>
      <c r="BN35" s="37">
        <f t="shared" si="22"/>
        <v>5.3199999999999997E-2</v>
      </c>
      <c r="BO35" s="37">
        <f t="shared" si="22"/>
        <v>5.3199999999999997E-2</v>
      </c>
      <c r="BP35" s="37">
        <f t="shared" si="22"/>
        <v>5.3199999999999997E-2</v>
      </c>
      <c r="BQ35" s="37">
        <f t="shared" si="22"/>
        <v>5.3100000000000001E-2</v>
      </c>
      <c r="BR35" s="37">
        <f t="shared" si="22"/>
        <v>5.3199999999999997E-2</v>
      </c>
      <c r="BS35" s="37">
        <f t="shared" si="22"/>
        <v>5.3199999999999997E-2</v>
      </c>
      <c r="BT35" s="37">
        <f t="shared" si="22"/>
        <v>5.3199999999999997E-2</v>
      </c>
      <c r="BU35" s="37">
        <f t="shared" si="22"/>
        <v>5.3100000000000001E-2</v>
      </c>
      <c r="BV35" s="37">
        <f t="shared" si="22"/>
        <v>5.3100000000000001E-2</v>
      </c>
      <c r="BW35" s="37">
        <f t="shared" si="22"/>
        <v>5.3100000000000001E-2</v>
      </c>
      <c r="BX35" s="37">
        <f t="shared" si="22"/>
        <v>5.3100000000000001E-2</v>
      </c>
      <c r="BY35" s="37">
        <f t="shared" si="22"/>
        <v>5.3100000000000001E-2</v>
      </c>
      <c r="BZ35" s="37">
        <f t="shared" si="22"/>
        <v>5.3100000000000001E-2</v>
      </c>
      <c r="CA35" s="37">
        <f t="shared" ref="CA35:DZ35" si="23">ROUND(CA31/CA18,4)</f>
        <v>6.5100000000000005E-2</v>
      </c>
      <c r="CB35" s="38">
        <f t="shared" si="23"/>
        <v>4.7800000000000002E-2</v>
      </c>
      <c r="CC35" s="38">
        <f t="shared" si="23"/>
        <v>4.7800000000000002E-2</v>
      </c>
      <c r="CD35" s="38">
        <f t="shared" si="23"/>
        <v>4.7699999999999999E-2</v>
      </c>
      <c r="CE35" s="38">
        <f t="shared" si="23"/>
        <v>4.7600000000000003E-2</v>
      </c>
      <c r="CF35" s="38">
        <f t="shared" si="23"/>
        <v>4.3999999999999997E-2</v>
      </c>
      <c r="CG35" s="38">
        <f t="shared" si="23"/>
        <v>4.4299999999999999E-2</v>
      </c>
      <c r="CH35" s="38">
        <f t="shared" si="23"/>
        <v>4.4499999999999998E-2</v>
      </c>
      <c r="CI35" s="38">
        <f t="shared" si="23"/>
        <v>4.48E-2</v>
      </c>
      <c r="CJ35" s="38">
        <f t="shared" si="23"/>
        <v>4.4999999999999998E-2</v>
      </c>
      <c r="CK35" s="38">
        <f t="shared" si="23"/>
        <v>4.53E-2</v>
      </c>
      <c r="CL35" s="38">
        <f t="shared" si="23"/>
        <v>4.5499999999999999E-2</v>
      </c>
      <c r="CM35" s="38">
        <f t="shared" si="23"/>
        <v>4.6199999999999998E-2</v>
      </c>
      <c r="CN35" s="38">
        <f t="shared" si="23"/>
        <v>4.6699999999999998E-2</v>
      </c>
      <c r="CO35" s="38">
        <f t="shared" si="23"/>
        <v>4.36E-2</v>
      </c>
      <c r="CP35" s="38">
        <f t="shared" si="23"/>
        <v>4.41E-2</v>
      </c>
      <c r="CQ35" s="38">
        <f t="shared" si="23"/>
        <v>4.4699999999999997E-2</v>
      </c>
      <c r="CR35" s="38">
        <f t="shared" si="23"/>
        <v>4.4900000000000002E-2</v>
      </c>
      <c r="CS35" s="38">
        <f t="shared" si="23"/>
        <v>4.5199999999999997E-2</v>
      </c>
      <c r="CT35" s="38">
        <f t="shared" si="23"/>
        <v>4.5400000000000003E-2</v>
      </c>
      <c r="CU35" s="38">
        <f t="shared" si="23"/>
        <v>4.5600000000000002E-2</v>
      </c>
      <c r="CV35" s="38">
        <f t="shared" si="23"/>
        <v>4.5900000000000003E-2</v>
      </c>
      <c r="CW35" s="38">
        <f t="shared" si="23"/>
        <v>4.6100000000000002E-2</v>
      </c>
      <c r="CX35" s="38">
        <f t="shared" si="23"/>
        <v>4.6300000000000001E-2</v>
      </c>
      <c r="CY35" s="38">
        <f t="shared" si="23"/>
        <v>4.65E-2</v>
      </c>
      <c r="CZ35" s="38">
        <f t="shared" si="23"/>
        <v>4.6800000000000001E-2</v>
      </c>
      <c r="DA35" s="38">
        <f t="shared" si="23"/>
        <v>4.6899999999999997E-2</v>
      </c>
      <c r="DB35" s="38">
        <f t="shared" si="23"/>
        <v>4.6899999999999997E-2</v>
      </c>
      <c r="DC35" s="38">
        <f t="shared" si="23"/>
        <v>4.6899999999999997E-2</v>
      </c>
      <c r="DD35" s="38">
        <f t="shared" si="23"/>
        <v>4.6899999999999997E-2</v>
      </c>
      <c r="DE35" s="38">
        <f t="shared" si="23"/>
        <v>4.6899999999999997E-2</v>
      </c>
      <c r="DF35" s="38">
        <f t="shared" si="23"/>
        <v>4.6899999999999997E-2</v>
      </c>
      <c r="DG35" s="38">
        <f t="shared" si="23"/>
        <v>4.6899999999999997E-2</v>
      </c>
      <c r="DH35" s="38">
        <f t="shared" si="23"/>
        <v>4.6899999999999997E-2</v>
      </c>
      <c r="DI35" s="38">
        <f t="shared" si="23"/>
        <v>2.8500000000000001E-2</v>
      </c>
      <c r="DJ35" s="38">
        <f t="shared" si="23"/>
        <v>2.9499999999999998E-2</v>
      </c>
      <c r="DK35" s="38">
        <f t="shared" si="23"/>
        <v>3.2899999999999999E-2</v>
      </c>
      <c r="DL35" s="38">
        <f t="shared" si="23"/>
        <v>3.3799999999999997E-2</v>
      </c>
      <c r="DM35" s="38">
        <f t="shared" si="23"/>
        <v>3.4500000000000003E-2</v>
      </c>
      <c r="DN35" s="38">
        <f t="shared" si="23"/>
        <v>3.5299999999999998E-2</v>
      </c>
      <c r="DO35" s="38">
        <f t="shared" si="23"/>
        <v>3.5799999999999998E-2</v>
      </c>
      <c r="DP35" s="38">
        <f t="shared" si="23"/>
        <v>3.6499999999999998E-2</v>
      </c>
      <c r="DQ35" s="38">
        <f t="shared" si="23"/>
        <v>3.7199999999999997E-2</v>
      </c>
      <c r="DR35" s="38">
        <f t="shared" si="23"/>
        <v>3.7900000000000003E-2</v>
      </c>
      <c r="DS35" s="38">
        <f t="shared" si="23"/>
        <v>3.8600000000000002E-2</v>
      </c>
      <c r="DT35" s="38">
        <f t="shared" si="23"/>
        <v>3.9300000000000002E-2</v>
      </c>
      <c r="DU35" s="38">
        <f t="shared" si="23"/>
        <v>3.9399999999999998E-2</v>
      </c>
      <c r="DV35" s="38">
        <f t="shared" si="23"/>
        <v>3.9E-2</v>
      </c>
      <c r="DW35" s="38">
        <f t="shared" si="23"/>
        <v>3.9E-2</v>
      </c>
      <c r="DX35" s="38">
        <f t="shared" si="23"/>
        <v>3.8800000000000001E-2</v>
      </c>
      <c r="DY35" s="38">
        <f t="shared" si="23"/>
        <v>3.4200000000000001E-2</v>
      </c>
      <c r="DZ35" s="38">
        <f t="shared" si="23"/>
        <v>3.4700000000000002E-2</v>
      </c>
      <c r="EA35" s="38">
        <f>ROUND(EA31/EA18,4)</f>
        <v>3.6799999999999999E-2</v>
      </c>
      <c r="EB35" s="38">
        <f t="shared" ref="EB35:ED35" si="24">ROUND(EB31/EB18,4)</f>
        <v>3.7199999999999997E-2</v>
      </c>
      <c r="EC35" s="38">
        <f t="shared" si="24"/>
        <v>3.7600000000000001E-2</v>
      </c>
      <c r="ED35" s="38">
        <f t="shared" si="24"/>
        <v>3.7999999999999999E-2</v>
      </c>
    </row>
    <row r="36" spans="1:134">
      <c r="A36" s="16"/>
    </row>
    <row r="37" spans="1:134">
      <c r="A37" s="16"/>
      <c r="B37" s="17"/>
      <c r="C37" s="17"/>
      <c r="D37" s="17"/>
      <c r="E37" s="17"/>
      <c r="F37" s="17"/>
      <c r="G37" s="17"/>
      <c r="H37" s="17"/>
      <c r="I37" s="17"/>
      <c r="J37" s="17"/>
      <c r="K37" s="17"/>
      <c r="L37" s="17"/>
      <c r="M37" s="17"/>
      <c r="N37" s="17"/>
      <c r="O37" s="17"/>
      <c r="P37" s="17"/>
      <c r="Q37" s="17"/>
      <c r="R37" s="17"/>
      <c r="S37" s="17"/>
      <c r="U37" s="17"/>
      <c r="V37" s="17"/>
      <c r="W37" s="17"/>
      <c r="X37" s="17"/>
      <c r="Y37" s="17"/>
      <c r="Z37" s="17"/>
      <c r="AA37" s="17"/>
      <c r="AB37" s="17"/>
      <c r="AC37" s="17"/>
      <c r="AD37" s="17"/>
      <c r="AE37" s="17"/>
      <c r="AF37" s="17"/>
      <c r="AG37" s="17"/>
      <c r="AH37" s="17"/>
      <c r="AI37" s="17"/>
    </row>
    <row r="38" spans="1:134" ht="15.75">
      <c r="A38" s="11" t="s">
        <v>34</v>
      </c>
      <c r="B38" s="39"/>
      <c r="C38" s="39"/>
      <c r="D38" s="39"/>
      <c r="E38" s="39"/>
      <c r="F38" s="39"/>
      <c r="G38" s="39"/>
      <c r="H38" s="39"/>
      <c r="I38" s="39"/>
      <c r="J38" s="39"/>
      <c r="K38" s="39"/>
      <c r="L38" s="39"/>
      <c r="M38" s="39"/>
      <c r="N38" s="39"/>
    </row>
    <row r="39" spans="1:134" ht="15">
      <c r="O39" s="4"/>
      <c r="P39" s="4"/>
      <c r="Q39" s="4"/>
      <c r="R39" s="4"/>
      <c r="S39" s="4"/>
      <c r="U39" s="4"/>
    </row>
    <row r="40" spans="1:134">
      <c r="B40" s="14" t="s">
        <v>35</v>
      </c>
      <c r="C40" s="15">
        <f t="shared" ref="C40:BN40" si="25">C12</f>
        <v>40911</v>
      </c>
      <c r="D40" s="15">
        <f t="shared" si="25"/>
        <v>40941</v>
      </c>
      <c r="E40" s="15">
        <f t="shared" si="25"/>
        <v>40971</v>
      </c>
      <c r="F40" s="15">
        <f t="shared" si="25"/>
        <v>41001</v>
      </c>
      <c r="G40" s="15">
        <f t="shared" si="25"/>
        <v>41031</v>
      </c>
      <c r="H40" s="15">
        <f t="shared" si="25"/>
        <v>41061</v>
      </c>
      <c r="I40" s="15">
        <f t="shared" si="25"/>
        <v>41091</v>
      </c>
      <c r="J40" s="15">
        <f t="shared" si="25"/>
        <v>41122</v>
      </c>
      <c r="K40" s="15">
        <f t="shared" si="25"/>
        <v>41153</v>
      </c>
      <c r="L40" s="15">
        <f t="shared" si="25"/>
        <v>41184</v>
      </c>
      <c r="M40" s="15">
        <f t="shared" si="25"/>
        <v>41215</v>
      </c>
      <c r="N40" s="15">
        <f t="shared" si="25"/>
        <v>41246</v>
      </c>
      <c r="O40" s="15">
        <f t="shared" si="25"/>
        <v>41277</v>
      </c>
      <c r="P40" s="15">
        <f t="shared" si="25"/>
        <v>41308</v>
      </c>
      <c r="Q40" s="15">
        <f t="shared" si="25"/>
        <v>41339</v>
      </c>
      <c r="R40" s="15">
        <f t="shared" si="25"/>
        <v>41370</v>
      </c>
      <c r="S40" s="15">
        <f t="shared" si="25"/>
        <v>41401</v>
      </c>
      <c r="T40" s="15">
        <f t="shared" si="25"/>
        <v>41432</v>
      </c>
      <c r="U40" s="15">
        <f t="shared" si="25"/>
        <v>41463</v>
      </c>
      <c r="V40" s="15">
        <f t="shared" si="25"/>
        <v>41494</v>
      </c>
      <c r="W40" s="15">
        <f t="shared" si="25"/>
        <v>41525</v>
      </c>
      <c r="X40" s="15">
        <f t="shared" si="25"/>
        <v>41556</v>
      </c>
      <c r="Y40" s="15">
        <f t="shared" si="25"/>
        <v>41587</v>
      </c>
      <c r="Z40" s="15">
        <f t="shared" si="25"/>
        <v>41618</v>
      </c>
      <c r="AA40" s="15">
        <f t="shared" si="25"/>
        <v>41649</v>
      </c>
      <c r="AB40" s="15">
        <f t="shared" si="25"/>
        <v>41680</v>
      </c>
      <c r="AC40" s="15">
        <f t="shared" si="25"/>
        <v>41711</v>
      </c>
      <c r="AD40" s="15">
        <f t="shared" si="25"/>
        <v>41742</v>
      </c>
      <c r="AE40" s="15">
        <f t="shared" si="25"/>
        <v>41773</v>
      </c>
      <c r="AF40" s="15">
        <f t="shared" si="25"/>
        <v>41804</v>
      </c>
      <c r="AG40" s="15">
        <f t="shared" si="25"/>
        <v>41835</v>
      </c>
      <c r="AH40" s="15">
        <f t="shared" si="25"/>
        <v>41866</v>
      </c>
      <c r="AI40" s="15">
        <f t="shared" si="25"/>
        <v>41897</v>
      </c>
      <c r="AJ40" s="15">
        <f t="shared" si="25"/>
        <v>41928</v>
      </c>
      <c r="AK40" s="15">
        <f t="shared" si="25"/>
        <v>41959</v>
      </c>
      <c r="AL40" s="15">
        <f t="shared" si="25"/>
        <v>41990</v>
      </c>
      <c r="AM40" s="15">
        <f t="shared" si="25"/>
        <v>42021</v>
      </c>
      <c r="AN40" s="15">
        <f t="shared" si="25"/>
        <v>42052</v>
      </c>
      <c r="AO40" s="15">
        <f t="shared" si="25"/>
        <v>42083</v>
      </c>
      <c r="AP40" s="15">
        <f t="shared" si="25"/>
        <v>42114</v>
      </c>
      <c r="AQ40" s="15">
        <f t="shared" si="25"/>
        <v>42145</v>
      </c>
      <c r="AR40" s="15">
        <f t="shared" si="25"/>
        <v>42176</v>
      </c>
      <c r="AS40" s="15">
        <f t="shared" si="25"/>
        <v>42207</v>
      </c>
      <c r="AT40" s="15">
        <f t="shared" si="25"/>
        <v>42238</v>
      </c>
      <c r="AU40" s="15">
        <f t="shared" si="25"/>
        <v>42269</v>
      </c>
      <c r="AV40" s="15">
        <f t="shared" si="25"/>
        <v>42300</v>
      </c>
      <c r="AW40" s="15">
        <f t="shared" si="25"/>
        <v>42331</v>
      </c>
      <c r="AX40" s="15">
        <f t="shared" si="25"/>
        <v>42362</v>
      </c>
      <c r="AY40" s="15">
        <f t="shared" si="25"/>
        <v>42393</v>
      </c>
      <c r="AZ40" s="15">
        <f t="shared" si="25"/>
        <v>42424</v>
      </c>
      <c r="BA40" s="15">
        <f t="shared" si="25"/>
        <v>42455</v>
      </c>
      <c r="BB40" s="15">
        <f t="shared" si="25"/>
        <v>42486</v>
      </c>
      <c r="BC40" s="15">
        <f t="shared" si="25"/>
        <v>42517</v>
      </c>
      <c r="BD40" s="15">
        <f t="shared" si="25"/>
        <v>42548</v>
      </c>
      <c r="BE40" s="15">
        <f t="shared" si="25"/>
        <v>42579</v>
      </c>
      <c r="BF40" s="15">
        <f t="shared" si="25"/>
        <v>42610</v>
      </c>
      <c r="BG40" s="15">
        <f t="shared" si="25"/>
        <v>42641</v>
      </c>
      <c r="BH40" s="15">
        <f t="shared" si="25"/>
        <v>42672</v>
      </c>
      <c r="BI40" s="15">
        <f t="shared" si="25"/>
        <v>42703</v>
      </c>
      <c r="BJ40" s="15">
        <f t="shared" si="25"/>
        <v>42734</v>
      </c>
      <c r="BK40" s="15">
        <f t="shared" si="25"/>
        <v>42765</v>
      </c>
      <c r="BL40" s="15">
        <f t="shared" si="25"/>
        <v>42793</v>
      </c>
      <c r="BM40" s="15">
        <f t="shared" si="25"/>
        <v>42824</v>
      </c>
      <c r="BN40" s="15">
        <f t="shared" si="25"/>
        <v>42855</v>
      </c>
      <c r="BO40" s="15">
        <f t="shared" ref="BO40:DZ40" si="26">BO12</f>
        <v>42886</v>
      </c>
      <c r="BP40" s="15">
        <f t="shared" si="26"/>
        <v>42916</v>
      </c>
      <c r="BQ40" s="15">
        <f t="shared" si="26"/>
        <v>42946</v>
      </c>
      <c r="BR40" s="15">
        <f t="shared" si="26"/>
        <v>42976</v>
      </c>
      <c r="BS40" s="15">
        <f t="shared" si="26"/>
        <v>43006</v>
      </c>
      <c r="BT40" s="15">
        <f t="shared" si="26"/>
        <v>43036</v>
      </c>
      <c r="BU40" s="15">
        <f t="shared" si="26"/>
        <v>43066</v>
      </c>
      <c r="BV40" s="15">
        <f t="shared" si="26"/>
        <v>43096</v>
      </c>
      <c r="BW40" s="15">
        <f t="shared" si="26"/>
        <v>43126</v>
      </c>
      <c r="BX40" s="15">
        <f t="shared" si="26"/>
        <v>43156</v>
      </c>
      <c r="BY40" s="15">
        <f t="shared" si="26"/>
        <v>43186</v>
      </c>
      <c r="BZ40" s="15">
        <f t="shared" si="26"/>
        <v>43216</v>
      </c>
      <c r="CA40" s="15">
        <f t="shared" si="26"/>
        <v>43246</v>
      </c>
      <c r="CB40" s="15">
        <f t="shared" si="26"/>
        <v>43276</v>
      </c>
      <c r="CC40" s="15">
        <f t="shared" si="26"/>
        <v>43306</v>
      </c>
      <c r="CD40" s="15">
        <f t="shared" si="26"/>
        <v>43336</v>
      </c>
      <c r="CE40" s="15">
        <f t="shared" si="26"/>
        <v>43366</v>
      </c>
      <c r="CF40" s="15">
        <f t="shared" si="26"/>
        <v>43396</v>
      </c>
      <c r="CG40" s="15">
        <f t="shared" si="26"/>
        <v>43426</v>
      </c>
      <c r="CH40" s="15">
        <f t="shared" si="26"/>
        <v>43456</v>
      </c>
      <c r="CI40" s="15">
        <f t="shared" si="26"/>
        <v>43486</v>
      </c>
      <c r="CJ40" s="15">
        <f t="shared" si="26"/>
        <v>43516</v>
      </c>
      <c r="CK40" s="15">
        <f t="shared" si="26"/>
        <v>43546</v>
      </c>
      <c r="CL40" s="15">
        <f t="shared" si="26"/>
        <v>43576</v>
      </c>
      <c r="CM40" s="15">
        <f t="shared" si="26"/>
        <v>43606</v>
      </c>
      <c r="CN40" s="15">
        <f t="shared" si="26"/>
        <v>43636</v>
      </c>
      <c r="CO40" s="15">
        <f t="shared" si="26"/>
        <v>43666</v>
      </c>
      <c r="CP40" s="15">
        <f t="shared" si="26"/>
        <v>43696</v>
      </c>
      <c r="CQ40" s="15">
        <f t="shared" si="26"/>
        <v>43726</v>
      </c>
      <c r="CR40" s="15">
        <f t="shared" si="26"/>
        <v>43756</v>
      </c>
      <c r="CS40" s="15">
        <f t="shared" si="26"/>
        <v>43786</v>
      </c>
      <c r="CT40" s="15">
        <f t="shared" si="26"/>
        <v>43816</v>
      </c>
      <c r="CU40" s="15">
        <f t="shared" si="26"/>
        <v>43846</v>
      </c>
      <c r="CV40" s="15">
        <f t="shared" si="26"/>
        <v>43876</v>
      </c>
      <c r="CW40" s="15">
        <f t="shared" si="26"/>
        <v>43906</v>
      </c>
      <c r="CX40" s="15">
        <f t="shared" si="26"/>
        <v>43936</v>
      </c>
      <c r="CY40" s="15">
        <f t="shared" si="26"/>
        <v>43966</v>
      </c>
      <c r="CZ40" s="15">
        <f t="shared" si="26"/>
        <v>43996</v>
      </c>
      <c r="DA40" s="15">
        <f t="shared" si="26"/>
        <v>44026</v>
      </c>
      <c r="DB40" s="15">
        <f t="shared" si="26"/>
        <v>44056</v>
      </c>
      <c r="DC40" s="15">
        <f t="shared" si="26"/>
        <v>44086</v>
      </c>
      <c r="DD40" s="15">
        <f t="shared" si="26"/>
        <v>44116</v>
      </c>
      <c r="DE40" s="15">
        <f t="shared" si="26"/>
        <v>44146</v>
      </c>
      <c r="DF40" s="15">
        <f t="shared" si="26"/>
        <v>44176</v>
      </c>
      <c r="DG40" s="15">
        <f t="shared" si="26"/>
        <v>44206</v>
      </c>
      <c r="DH40" s="15">
        <f t="shared" si="26"/>
        <v>44236</v>
      </c>
      <c r="DI40" s="15">
        <f t="shared" si="26"/>
        <v>44266</v>
      </c>
      <c r="DJ40" s="15">
        <f t="shared" si="26"/>
        <v>44296</v>
      </c>
      <c r="DK40" s="15">
        <f t="shared" si="26"/>
        <v>44326</v>
      </c>
      <c r="DL40" s="15">
        <f t="shared" si="26"/>
        <v>44356</v>
      </c>
      <c r="DM40" s="15">
        <f t="shared" si="26"/>
        <v>44386</v>
      </c>
      <c r="DN40" s="15">
        <f t="shared" si="26"/>
        <v>44416</v>
      </c>
      <c r="DO40" s="15">
        <f t="shared" si="26"/>
        <v>44446</v>
      </c>
      <c r="DP40" s="15">
        <f t="shared" si="26"/>
        <v>44476</v>
      </c>
      <c r="DQ40" s="15">
        <f t="shared" si="26"/>
        <v>44506</v>
      </c>
      <c r="DR40" s="15">
        <f t="shared" si="26"/>
        <v>44536</v>
      </c>
      <c r="DS40" s="15">
        <f t="shared" si="26"/>
        <v>44566</v>
      </c>
      <c r="DT40" s="15">
        <f t="shared" si="26"/>
        <v>44596</v>
      </c>
      <c r="DU40" s="15">
        <f t="shared" si="26"/>
        <v>44626</v>
      </c>
      <c r="DV40" s="15">
        <f t="shared" si="26"/>
        <v>44656</v>
      </c>
      <c r="DW40" s="15">
        <f t="shared" si="26"/>
        <v>44686</v>
      </c>
      <c r="DX40" s="15">
        <f t="shared" si="26"/>
        <v>44716</v>
      </c>
      <c r="DY40" s="15">
        <f t="shared" si="26"/>
        <v>44746</v>
      </c>
      <c r="DZ40" s="15">
        <f t="shared" si="26"/>
        <v>44776</v>
      </c>
      <c r="EA40" s="15">
        <f t="shared" ref="EA40:ED40" si="27">EA12</f>
        <v>44806</v>
      </c>
      <c r="EB40" s="15">
        <f t="shared" si="27"/>
        <v>44836</v>
      </c>
      <c r="EC40" s="15">
        <f t="shared" si="27"/>
        <v>44866</v>
      </c>
      <c r="ED40" s="15">
        <f t="shared" si="27"/>
        <v>44896</v>
      </c>
    </row>
    <row r="41" spans="1:134">
      <c r="B41" s="14"/>
      <c r="C41" s="14"/>
      <c r="D41" s="14"/>
      <c r="E41" s="14"/>
      <c r="F41" s="14"/>
      <c r="G41" s="14"/>
      <c r="H41" s="14"/>
      <c r="I41" s="14"/>
      <c r="J41" s="14"/>
      <c r="K41" s="14"/>
      <c r="L41" s="14"/>
      <c r="M41" s="14"/>
      <c r="N41" s="14"/>
      <c r="O41" s="15"/>
      <c r="P41" s="15"/>
      <c r="Q41" s="15"/>
      <c r="R41" s="15"/>
      <c r="S41" s="15"/>
      <c r="T41" s="15"/>
      <c r="U41" s="15"/>
      <c r="V41" s="15"/>
      <c r="W41" s="15"/>
      <c r="X41" s="15"/>
      <c r="Y41" s="15"/>
      <c r="Z41" s="15"/>
      <c r="AA41" s="15"/>
      <c r="AB41" s="15"/>
      <c r="AC41" s="15"/>
      <c r="AD41" s="15"/>
      <c r="AE41" s="15"/>
      <c r="AF41" s="15"/>
      <c r="AG41" s="15"/>
      <c r="AH41" s="15"/>
      <c r="AI41" s="15"/>
    </row>
    <row r="42" spans="1:134" ht="15">
      <c r="A42" s="13" t="s">
        <v>36</v>
      </c>
      <c r="B42" s="2" t="s">
        <v>37</v>
      </c>
      <c r="C42" s="36">
        <v>3.2000000000000002E-3</v>
      </c>
      <c r="D42" s="36">
        <v>3.0000000000000001E-3</v>
      </c>
      <c r="E42" s="36">
        <v>3.0000000000000001E-3</v>
      </c>
      <c r="F42" s="36">
        <v>2.5000000000000001E-3</v>
      </c>
      <c r="G42" s="36">
        <v>2.5000000000000001E-3</v>
      </c>
      <c r="H42" s="36">
        <v>2.5000000000000001E-3</v>
      </c>
      <c r="I42" s="36">
        <v>2.5000000000000001E-3</v>
      </c>
      <c r="J42" s="36">
        <v>3.7000000000000002E-3</v>
      </c>
      <c r="K42" s="36">
        <v>4.5999999999999999E-3</v>
      </c>
      <c r="L42" s="36">
        <v>4.5999999999999999E-3</v>
      </c>
      <c r="M42" s="36">
        <v>4.7999999999999996E-3</v>
      </c>
      <c r="N42" s="36">
        <v>5.8999999999999999E-3</v>
      </c>
      <c r="O42" s="36">
        <v>5.4000000000000003E-3</v>
      </c>
      <c r="P42" s="36">
        <v>5.4000000000000003E-3</v>
      </c>
      <c r="Q42" s="36">
        <v>5.4000000000000003E-3</v>
      </c>
      <c r="R42" s="36">
        <v>5.4000000000000003E-3</v>
      </c>
      <c r="S42" s="36">
        <v>5.4000000000000003E-3</v>
      </c>
      <c r="T42" s="36">
        <v>5.4000000000000003E-3</v>
      </c>
      <c r="U42" s="36">
        <v>5.4000000000000003E-3</v>
      </c>
      <c r="V42" s="36">
        <v>5.4000000000000003E-3</v>
      </c>
      <c r="W42" s="36">
        <v>5.0000000000000001E-3</v>
      </c>
      <c r="X42" s="36">
        <v>5.0000000000000001E-3</v>
      </c>
      <c r="Y42" s="36">
        <v>5.0000000000000001E-3</v>
      </c>
      <c r="Z42" s="36">
        <v>5.0000000000000001E-3</v>
      </c>
      <c r="AA42" s="36">
        <v>5.1999999999999998E-3</v>
      </c>
      <c r="AB42" s="36">
        <v>5.4999999999999997E-3</v>
      </c>
      <c r="AC42" s="40">
        <v>5.5999999999999999E-3</v>
      </c>
      <c r="AD42" s="40">
        <v>5.5999999999999999E-3</v>
      </c>
      <c r="AE42" s="40">
        <v>5.5999999999999999E-3</v>
      </c>
      <c r="AF42" s="40">
        <v>5.5999999999999999E-3</v>
      </c>
      <c r="AG42" s="40">
        <v>5.5999999999999999E-3</v>
      </c>
      <c r="AH42" s="40">
        <v>5.5999999999999999E-3</v>
      </c>
      <c r="AI42" s="40">
        <v>5.4000000000000003E-3</v>
      </c>
      <c r="AJ42" s="40">
        <v>5.3E-3</v>
      </c>
      <c r="AK42" s="40">
        <v>5.3E-3</v>
      </c>
      <c r="AL42" s="40">
        <v>5.3E-3</v>
      </c>
      <c r="AM42" s="40">
        <v>5.5999999999999999E-3</v>
      </c>
      <c r="AN42" s="40">
        <v>5.8999999999999999E-3</v>
      </c>
      <c r="AO42" s="40">
        <v>6.3E-3</v>
      </c>
      <c r="AP42" s="40">
        <v>6.3E-3</v>
      </c>
      <c r="AQ42" s="40">
        <v>6.3E-3</v>
      </c>
      <c r="AR42" s="40">
        <v>6.3E-3</v>
      </c>
      <c r="AS42" s="40">
        <v>6.3E-3</v>
      </c>
      <c r="AT42" s="40">
        <v>6.3E-3</v>
      </c>
      <c r="AU42" s="40">
        <v>6.3E-3</v>
      </c>
      <c r="AV42" s="40">
        <v>6.6E-3</v>
      </c>
      <c r="AW42" s="40">
        <v>6.8999999999999999E-3</v>
      </c>
      <c r="AX42" s="41">
        <v>6.8999999999999999E-3</v>
      </c>
      <c r="AY42" s="42">
        <v>7.4000000000000003E-3</v>
      </c>
      <c r="AZ42" s="42">
        <v>8.3999999999999995E-3</v>
      </c>
      <c r="BA42" s="42">
        <v>1.01E-2</v>
      </c>
      <c r="BB42" s="42">
        <v>1.01E-2</v>
      </c>
      <c r="BC42" s="42">
        <v>1.01E-2</v>
      </c>
      <c r="BD42" s="42">
        <v>1.0699999999999999E-2</v>
      </c>
      <c r="BE42" s="42">
        <v>1.0999999999999999E-2</v>
      </c>
      <c r="BF42" s="42">
        <v>1.11E-2</v>
      </c>
      <c r="BG42" s="42">
        <v>1.15E-2</v>
      </c>
      <c r="BH42" s="42">
        <v>1.1299999999999999E-2</v>
      </c>
      <c r="BI42" s="42">
        <v>1.23E-2</v>
      </c>
      <c r="BJ42" s="42">
        <v>1.41E-2</v>
      </c>
      <c r="BK42" s="42">
        <v>1.49E-2</v>
      </c>
      <c r="BL42" s="42">
        <v>1.54E-2</v>
      </c>
      <c r="BM42" s="42">
        <v>1.5900000000000001E-2</v>
      </c>
      <c r="BN42" s="42">
        <v>1.6299999999999999E-2</v>
      </c>
      <c r="BO42" s="42">
        <v>1.66E-2</v>
      </c>
      <c r="BP42" s="42">
        <v>1.6899999999999998E-2</v>
      </c>
      <c r="BQ42" s="42">
        <v>1.7399999999999999E-2</v>
      </c>
      <c r="BR42" s="42">
        <v>1.77E-2</v>
      </c>
      <c r="BS42" s="42">
        <v>1.6899999999999998E-2</v>
      </c>
      <c r="BT42" s="42">
        <v>1.8700000000000001E-2</v>
      </c>
      <c r="BU42" s="42">
        <v>1.7100000000000001E-2</v>
      </c>
      <c r="BV42" s="42">
        <v>1.6199999999999999E-2</v>
      </c>
      <c r="BW42" s="42">
        <v>1.7000000000000001E-2</v>
      </c>
      <c r="BX42" s="42">
        <v>1.7500000000000002E-2</v>
      </c>
      <c r="BY42" s="42">
        <v>1.7999999999999999E-2</v>
      </c>
      <c r="BZ42" s="42">
        <v>1.8599999999999998E-2</v>
      </c>
      <c r="CA42" s="42">
        <v>2.0500000000000001E-2</v>
      </c>
      <c r="CB42" s="42">
        <v>2.0899999999999998E-2</v>
      </c>
      <c r="CC42" s="42">
        <v>2.1299999999999999E-2</v>
      </c>
      <c r="CD42" s="42">
        <v>2.1700000000000001E-2</v>
      </c>
      <c r="CE42" s="42">
        <v>2.3E-2</v>
      </c>
      <c r="CF42" s="42">
        <v>2.1899999999999999E-2</v>
      </c>
      <c r="CG42" s="42">
        <v>2.3E-2</v>
      </c>
      <c r="CH42" s="42">
        <v>2.63E-2</v>
      </c>
      <c r="CI42" s="42">
        <v>2.76E-2</v>
      </c>
      <c r="CJ42" s="42">
        <v>2.87E-2</v>
      </c>
      <c r="CK42" s="42">
        <v>2.9700000000000001E-2</v>
      </c>
      <c r="CL42" s="42">
        <v>3.0499999999999999E-2</v>
      </c>
      <c r="CM42" s="42">
        <v>3.0499999999999999E-2</v>
      </c>
      <c r="CN42" s="42">
        <v>3.0700000000000002E-2</v>
      </c>
      <c r="CO42" s="42">
        <v>3.1099999999999999E-2</v>
      </c>
      <c r="CP42" s="42">
        <v>3.1300000000000001E-2</v>
      </c>
      <c r="CQ42" s="42">
        <v>3.1300000000000001E-2</v>
      </c>
      <c r="CR42" s="42">
        <v>3.1899999999999998E-2</v>
      </c>
      <c r="CS42" s="42">
        <v>3.1800000000000002E-2</v>
      </c>
      <c r="CT42" s="42">
        <v>3.04E-2</v>
      </c>
      <c r="CU42" s="42">
        <v>2.9399999999999999E-2</v>
      </c>
      <c r="CV42" s="42">
        <v>2.8299999999999999E-2</v>
      </c>
      <c r="CW42" s="42">
        <v>2.6499999999999999E-2</v>
      </c>
      <c r="CX42" s="42">
        <v>2.4299999999999999E-2</v>
      </c>
      <c r="CY42" s="42">
        <v>2.18E-2</v>
      </c>
      <c r="CZ42" s="42">
        <v>1.9800000000000002E-2</v>
      </c>
      <c r="DA42" s="42">
        <v>1.7797170261551302E-2</v>
      </c>
      <c r="DB42" s="42">
        <v>1.6305850524950479E-2</v>
      </c>
      <c r="DC42" s="42">
        <v>1.49902469275049E-2</v>
      </c>
      <c r="DD42" s="42">
        <v>1.3728460394300779E-2</v>
      </c>
      <c r="DE42" s="42">
        <v>1.2717346298480033E-2</v>
      </c>
      <c r="DF42" s="42">
        <v>1.1577027686093169E-2</v>
      </c>
      <c r="DG42" s="42">
        <v>1.0554784432428448E-2</v>
      </c>
      <c r="DH42" s="42">
        <v>9.9157897339549154E-3</v>
      </c>
      <c r="DI42" s="42">
        <v>9.7939145561504858E-3</v>
      </c>
      <c r="DJ42" s="42">
        <v>9.6802069474278395E-3</v>
      </c>
      <c r="DK42" s="42">
        <v>9.8033385632165099E-3</v>
      </c>
      <c r="DL42" s="42">
        <v>9.6186796377598829E-3</v>
      </c>
      <c r="DM42" s="42">
        <v>9.1908857724602912E-3</v>
      </c>
      <c r="DN42" s="42">
        <v>8.7567603153855811E-3</v>
      </c>
      <c r="DO42" s="42">
        <v>8.3342146039560427E-3</v>
      </c>
      <c r="DP42" s="42">
        <v>7.7677274407844752E-3</v>
      </c>
      <c r="DQ42" s="42">
        <v>7.1105663455805455E-3</v>
      </c>
      <c r="DR42" s="42">
        <v>6.205005066866524E-3</v>
      </c>
      <c r="DS42" s="42">
        <v>5.4873979367903673E-3</v>
      </c>
      <c r="DT42" s="42">
        <v>4.7688132514866269E-3</v>
      </c>
      <c r="DU42" s="42">
        <v>4.4309036307596857E-3</v>
      </c>
      <c r="DV42" s="42">
        <v>5.0809769129891236E-3</v>
      </c>
      <c r="DW42" s="42">
        <v>5.5910536885141089E-3</v>
      </c>
      <c r="DX42" s="42">
        <v>6.6783970834967165E-3</v>
      </c>
      <c r="DY42" s="42">
        <v>8.2496462543125669E-3</v>
      </c>
      <c r="DZ42" s="42">
        <v>9.895695825960435E-3</v>
      </c>
      <c r="EA42" s="42">
        <v>1.1874555100380126E-2</v>
      </c>
      <c r="EB42" s="42">
        <v>1.4499953669528021E-2</v>
      </c>
      <c r="EC42" s="42">
        <v>1.7540692075804006E-2</v>
      </c>
      <c r="ED42" s="42">
        <v>2.2032118366889127E-2</v>
      </c>
    </row>
    <row r="43" spans="1:134" ht="15.75" thickBot="1">
      <c r="C43" s="36"/>
      <c r="D43" s="36"/>
      <c r="E43" s="36"/>
      <c r="F43" s="36"/>
      <c r="G43" s="36"/>
      <c r="H43" s="36"/>
      <c r="I43" s="36"/>
      <c r="J43" s="36"/>
      <c r="K43" s="36"/>
      <c r="L43" s="36"/>
      <c r="M43" s="36"/>
      <c r="N43" s="36"/>
      <c r="O43" s="43"/>
      <c r="P43" s="43"/>
      <c r="Q43" s="43"/>
      <c r="R43" s="43"/>
      <c r="S43" s="43"/>
      <c r="T43" s="43"/>
      <c r="U43" s="43"/>
      <c r="V43" s="43"/>
      <c r="W43" s="43"/>
      <c r="X43" s="43"/>
      <c r="Y43" s="43"/>
      <c r="Z43" s="43"/>
      <c r="AA43" s="43"/>
      <c r="AB43" s="43"/>
      <c r="AC43" s="44"/>
      <c r="AD43" s="44"/>
      <c r="AE43" s="44"/>
      <c r="AF43" s="44"/>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row>
    <row r="44" spans="1:134" ht="21.75" thickTop="1" thickBot="1">
      <c r="A44" s="59" t="s">
        <v>38</v>
      </c>
      <c r="B44" s="60" t="s">
        <v>39</v>
      </c>
      <c r="C44" s="61">
        <v>0</v>
      </c>
      <c r="D44" s="61">
        <v>0</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2">
        <v>0</v>
      </c>
      <c r="AD44" s="62">
        <v>0</v>
      </c>
      <c r="AE44" s="62">
        <v>0</v>
      </c>
      <c r="AF44" s="62">
        <v>0</v>
      </c>
      <c r="AG44" s="62">
        <v>0</v>
      </c>
      <c r="AH44" s="62">
        <v>0</v>
      </c>
      <c r="AI44" s="62">
        <v>0</v>
      </c>
      <c r="AJ44" s="62">
        <v>0</v>
      </c>
      <c r="AK44" s="62">
        <v>0</v>
      </c>
      <c r="AL44" s="62">
        <v>7.0000000000000001E-3</v>
      </c>
      <c r="AM44" s="62">
        <v>6.7000000000000002E-3</v>
      </c>
      <c r="AN44" s="62">
        <v>6.7999999999999996E-3</v>
      </c>
      <c r="AO44" s="62">
        <v>8.6999999999999994E-3</v>
      </c>
      <c r="AP44" s="62">
        <v>6.7999999999999996E-3</v>
      </c>
      <c r="AQ44" s="62">
        <v>7.1999999999999998E-3</v>
      </c>
      <c r="AR44" s="62">
        <v>6.0000000000000001E-3</v>
      </c>
      <c r="AS44" s="62">
        <v>0</v>
      </c>
      <c r="AT44" s="62">
        <v>0</v>
      </c>
      <c r="AU44" s="62">
        <v>0</v>
      </c>
      <c r="AV44" s="62">
        <v>0</v>
      </c>
      <c r="AW44" s="62">
        <v>0</v>
      </c>
      <c r="AX44" s="63">
        <v>8.8999999999999999E-3</v>
      </c>
      <c r="AY44" s="64">
        <v>9.1999999999999998E-3</v>
      </c>
      <c r="AZ44" s="64">
        <v>9.7999999999999997E-3</v>
      </c>
      <c r="BA44" s="64">
        <v>0.01</v>
      </c>
      <c r="BB44" s="64">
        <v>1.03E-2</v>
      </c>
      <c r="BC44" s="64">
        <v>1.0500000000000001E-2</v>
      </c>
      <c r="BD44" s="64">
        <v>1.0699999999999999E-2</v>
      </c>
      <c r="BE44" s="64">
        <v>1.0699999999999999E-2</v>
      </c>
      <c r="BF44" s="64">
        <v>1.14E-2</v>
      </c>
      <c r="BG44" s="64">
        <v>1.32E-2</v>
      </c>
      <c r="BH44" s="64">
        <v>1.29E-2</v>
      </c>
      <c r="BI44" s="64">
        <v>1.32E-2</v>
      </c>
      <c r="BJ44" s="64">
        <v>1.49E-2</v>
      </c>
      <c r="BK44" s="64">
        <v>1.5599999999999999E-2</v>
      </c>
      <c r="BL44" s="64">
        <v>1.6400000000000001E-2</v>
      </c>
      <c r="BM44" s="64">
        <v>1.72E-2</v>
      </c>
      <c r="BN44" s="64">
        <v>1.7999999999999999E-2</v>
      </c>
      <c r="BO44" s="64">
        <v>1.7999999999999999E-2</v>
      </c>
      <c r="BP44" s="64">
        <v>1.89E-2</v>
      </c>
      <c r="BQ44" s="64">
        <v>2.0299999999999999E-2</v>
      </c>
      <c r="BR44" s="64">
        <v>2.01E-2</v>
      </c>
      <c r="BS44" s="64">
        <v>2.07E-2</v>
      </c>
      <c r="BT44" s="64">
        <v>2.0500000000000001E-2</v>
      </c>
      <c r="BU44" s="64">
        <v>1.95E-2</v>
      </c>
      <c r="BV44" s="64">
        <v>2.07E-2</v>
      </c>
      <c r="BW44" s="64">
        <v>2.1999999999999999E-2</v>
      </c>
      <c r="BX44" s="64">
        <v>2.1999999999999999E-2</v>
      </c>
      <c r="BY44" s="64">
        <v>2.29E-2</v>
      </c>
      <c r="BZ44" s="64">
        <v>2.4500000000000001E-2</v>
      </c>
      <c r="CA44" s="64">
        <v>2.6100000000000002E-2</v>
      </c>
      <c r="CB44" s="64">
        <v>2.6599999999999999E-2</v>
      </c>
      <c r="CC44" s="64">
        <v>2.7E-2</v>
      </c>
      <c r="CD44" s="64">
        <v>2.7E-2</v>
      </c>
      <c r="CE44" s="64">
        <v>2.7300000000000001E-2</v>
      </c>
      <c r="CF44" s="64">
        <v>2.7300000000000001E-2</v>
      </c>
      <c r="CG44" s="64">
        <v>2.9000000000000001E-2</v>
      </c>
      <c r="CH44" s="64">
        <v>3.1399999999999997E-2</v>
      </c>
      <c r="CI44" s="64">
        <v>3.3099999999999997E-2</v>
      </c>
      <c r="CJ44" s="64">
        <v>3.3399999999999999E-2</v>
      </c>
      <c r="CK44" s="64">
        <v>3.3099999999999997E-2</v>
      </c>
      <c r="CL44" s="64">
        <v>3.3000000000000002E-2</v>
      </c>
      <c r="CM44" s="64">
        <v>3.3599999999999998E-2</v>
      </c>
      <c r="CN44" s="64">
        <v>3.2800000000000003E-2</v>
      </c>
      <c r="CO44" s="64">
        <v>3.2500000000000001E-2</v>
      </c>
      <c r="CP44" s="64">
        <v>2.9600000000000001E-2</v>
      </c>
      <c r="CQ44" s="64">
        <v>2.8500000000000001E-2</v>
      </c>
      <c r="CR44" s="64">
        <v>3.1600000000000003E-2</v>
      </c>
      <c r="CS44" s="64">
        <v>2.52E-2</v>
      </c>
      <c r="CT44" s="64">
        <v>2.5600000000000001E-2</v>
      </c>
      <c r="CU44" s="65">
        <v>2.5600000000000001E-2</v>
      </c>
      <c r="CV44" s="42">
        <v>2.3099999999999999E-2</v>
      </c>
      <c r="CW44" s="42">
        <v>1.72E-2</v>
      </c>
      <c r="CX44" s="42">
        <v>1.04E-2</v>
      </c>
      <c r="CY44" s="42">
        <v>8.5000000000000006E-3</v>
      </c>
      <c r="CZ44" s="42">
        <v>8.2640000000000005E-3</v>
      </c>
      <c r="DA44" s="42">
        <v>8.5774809879379452E-3</v>
      </c>
      <c r="DB44" s="42">
        <v>8.5000937834807302E-3</v>
      </c>
      <c r="DC44" s="42">
        <v>8.2053916322922596E-3</v>
      </c>
      <c r="DD44" s="42">
        <v>8.2925565139378189E-3</v>
      </c>
      <c r="DE44" s="42">
        <v>8.5510234050052789E-3</v>
      </c>
      <c r="DF44" s="42">
        <v>8.9412080871782897E-3</v>
      </c>
      <c r="DG44" s="42">
        <v>9.410204196263601E-3</v>
      </c>
      <c r="DH44" s="42">
        <v>9.7650376763331881E-3</v>
      </c>
      <c r="DI44" s="42">
        <v>9.8700246446584011E-3</v>
      </c>
      <c r="DJ44" s="42">
        <v>1.2499999999998729E-2</v>
      </c>
      <c r="DK44" s="42">
        <v>1.2216206561637105E-2</v>
      </c>
      <c r="DL44" s="42">
        <v>5.2463132654680458E-3</v>
      </c>
      <c r="DM44" s="42">
        <v>2.4729283990345872E-3</v>
      </c>
      <c r="DN44" s="42">
        <v>2.4597222222222151E-3</v>
      </c>
      <c r="DO44" s="42">
        <v>2.4236301369862938E-3</v>
      </c>
      <c r="DP44" s="42">
        <v>2.3260497956150068E-3</v>
      </c>
      <c r="DQ44" s="42">
        <v>2.4791596638655414E-3</v>
      </c>
      <c r="DR44" s="42">
        <v>4.2013965045351338E-3</v>
      </c>
      <c r="DS44" s="42">
        <v>5.6140775207409645E-3</v>
      </c>
      <c r="DT44" s="42">
        <v>5.892552135054613E-3</v>
      </c>
      <c r="DU44" s="42">
        <v>8.5698674721650225E-3</v>
      </c>
      <c r="DV44" s="42">
        <v>1.0925260140818738E-2</v>
      </c>
      <c r="DW44" s="42">
        <v>1.2367938581413994E-2</v>
      </c>
      <c r="DX44" s="42">
        <v>1.6723566037735844E-2</v>
      </c>
      <c r="DY44" s="42">
        <v>2.2808055804566862E-2</v>
      </c>
      <c r="DZ44" s="42">
        <v>2.7979838709677341E-2</v>
      </c>
      <c r="EA44" s="42">
        <v>3.2177373011151471E-2</v>
      </c>
      <c r="EB44" s="42">
        <v>3.7715176715176678E-2</v>
      </c>
      <c r="EC44" s="42">
        <v>4.3385141928169571E-2</v>
      </c>
      <c r="ED44" s="65">
        <v>4.8296533726109959E-2</v>
      </c>
    </row>
    <row r="45" spans="1:134" ht="13.5" thickTop="1">
      <c r="Z45" s="17"/>
    </row>
    <row r="46" spans="1:134">
      <c r="A46" s="46" t="s">
        <v>40</v>
      </c>
      <c r="Z46" s="17"/>
    </row>
    <row r="47" spans="1:134">
      <c r="B47" s="14" t="s">
        <v>41</v>
      </c>
      <c r="Z47" s="17"/>
      <c r="BW47" s="15">
        <f t="shared" ref="BW47:ED47" si="28">+BW12</f>
        <v>43126</v>
      </c>
      <c r="BX47" s="15">
        <f t="shared" si="28"/>
        <v>43156</v>
      </c>
      <c r="BY47" s="15">
        <f t="shared" si="28"/>
        <v>43186</v>
      </c>
      <c r="BZ47" s="15">
        <f t="shared" si="28"/>
        <v>43216</v>
      </c>
      <c r="CA47" s="15">
        <f t="shared" si="28"/>
        <v>43246</v>
      </c>
      <c r="CB47" s="15">
        <f t="shared" si="28"/>
        <v>43276</v>
      </c>
      <c r="CC47" s="15">
        <f t="shared" si="28"/>
        <v>43306</v>
      </c>
      <c r="CD47" s="15">
        <f t="shared" si="28"/>
        <v>43336</v>
      </c>
      <c r="CE47" s="15">
        <f t="shared" si="28"/>
        <v>43366</v>
      </c>
      <c r="CF47" s="15">
        <f t="shared" si="28"/>
        <v>43396</v>
      </c>
      <c r="CG47" s="15">
        <f t="shared" si="28"/>
        <v>43426</v>
      </c>
      <c r="CH47" s="15">
        <f t="shared" si="28"/>
        <v>43456</v>
      </c>
      <c r="CI47" s="15">
        <f t="shared" si="28"/>
        <v>43486</v>
      </c>
      <c r="CJ47" s="15">
        <f t="shared" si="28"/>
        <v>43516</v>
      </c>
      <c r="CK47" s="15">
        <f t="shared" si="28"/>
        <v>43546</v>
      </c>
      <c r="CL47" s="15">
        <f t="shared" si="28"/>
        <v>43576</v>
      </c>
      <c r="CM47" s="15">
        <f t="shared" si="28"/>
        <v>43606</v>
      </c>
      <c r="CN47" s="15">
        <f t="shared" si="28"/>
        <v>43636</v>
      </c>
      <c r="CO47" s="15">
        <f t="shared" si="28"/>
        <v>43666</v>
      </c>
      <c r="CP47" s="15">
        <f t="shared" si="28"/>
        <v>43696</v>
      </c>
      <c r="CQ47" s="15">
        <f t="shared" si="28"/>
        <v>43726</v>
      </c>
      <c r="CR47" s="15">
        <f t="shared" si="28"/>
        <v>43756</v>
      </c>
      <c r="CS47" s="15">
        <f t="shared" si="28"/>
        <v>43786</v>
      </c>
      <c r="CT47" s="15">
        <f t="shared" si="28"/>
        <v>43816</v>
      </c>
      <c r="CU47" s="15">
        <f t="shared" si="28"/>
        <v>43846</v>
      </c>
      <c r="CV47" s="15">
        <f t="shared" si="28"/>
        <v>43876</v>
      </c>
      <c r="CW47" s="15">
        <f t="shared" si="28"/>
        <v>43906</v>
      </c>
      <c r="CX47" s="15">
        <f t="shared" si="28"/>
        <v>43936</v>
      </c>
      <c r="CY47" s="15">
        <f t="shared" si="28"/>
        <v>43966</v>
      </c>
      <c r="CZ47" s="15">
        <f t="shared" si="28"/>
        <v>43996</v>
      </c>
      <c r="DA47" s="15">
        <f t="shared" si="28"/>
        <v>44026</v>
      </c>
      <c r="DB47" s="15">
        <f t="shared" si="28"/>
        <v>44056</v>
      </c>
      <c r="DC47" s="15">
        <f t="shared" si="28"/>
        <v>44086</v>
      </c>
      <c r="DD47" s="15">
        <f t="shared" si="28"/>
        <v>44116</v>
      </c>
      <c r="DE47" s="15">
        <f t="shared" si="28"/>
        <v>44146</v>
      </c>
      <c r="DF47" s="15">
        <f t="shared" si="28"/>
        <v>44176</v>
      </c>
      <c r="DG47" s="15">
        <f t="shared" si="28"/>
        <v>44206</v>
      </c>
      <c r="DH47" s="15">
        <f t="shared" si="28"/>
        <v>44236</v>
      </c>
      <c r="DI47" s="15">
        <f t="shared" si="28"/>
        <v>44266</v>
      </c>
      <c r="DJ47" s="15">
        <f t="shared" si="28"/>
        <v>44296</v>
      </c>
      <c r="DK47" s="15">
        <f t="shared" si="28"/>
        <v>44326</v>
      </c>
      <c r="DL47" s="15">
        <f t="shared" si="28"/>
        <v>44356</v>
      </c>
      <c r="DM47" s="15">
        <f t="shared" si="28"/>
        <v>44386</v>
      </c>
      <c r="DN47" s="15">
        <f t="shared" si="28"/>
        <v>44416</v>
      </c>
      <c r="DO47" s="15">
        <f t="shared" si="28"/>
        <v>44446</v>
      </c>
      <c r="DP47" s="15">
        <f t="shared" si="28"/>
        <v>44476</v>
      </c>
      <c r="DQ47" s="15">
        <f t="shared" si="28"/>
        <v>44506</v>
      </c>
      <c r="DR47" s="15">
        <f t="shared" si="28"/>
        <v>44536</v>
      </c>
      <c r="DS47" s="15">
        <f t="shared" si="28"/>
        <v>44566</v>
      </c>
      <c r="DT47" s="15">
        <f t="shared" si="28"/>
        <v>44596</v>
      </c>
      <c r="DU47" s="15">
        <f t="shared" si="28"/>
        <v>44626</v>
      </c>
      <c r="DV47" s="15">
        <f t="shared" si="28"/>
        <v>44656</v>
      </c>
      <c r="DW47" s="15">
        <f t="shared" si="28"/>
        <v>44686</v>
      </c>
      <c r="DX47" s="15">
        <f t="shared" si="28"/>
        <v>44716</v>
      </c>
      <c r="DY47" s="15">
        <f t="shared" si="28"/>
        <v>44746</v>
      </c>
      <c r="DZ47" s="15">
        <f t="shared" si="28"/>
        <v>44776</v>
      </c>
      <c r="EA47" s="15">
        <f t="shared" si="28"/>
        <v>44806</v>
      </c>
      <c r="EB47" s="15">
        <f t="shared" si="28"/>
        <v>44836</v>
      </c>
      <c r="EC47" s="15">
        <f t="shared" si="28"/>
        <v>44866</v>
      </c>
      <c r="ED47" s="15">
        <f t="shared" si="28"/>
        <v>44896</v>
      </c>
    </row>
    <row r="48" spans="1:134">
      <c r="Z48" s="17"/>
    </row>
    <row r="49" spans="1:134">
      <c r="A49" s="16" t="s">
        <v>42</v>
      </c>
      <c r="B49" s="2" t="s">
        <v>43</v>
      </c>
      <c r="Z49" s="17"/>
      <c r="BW49" s="47">
        <f>-VLOOKUP("2310000",'[1]Input BS ACCTS'!$A$5:$DD$397,53,FALSE)/1000</f>
        <v>5000</v>
      </c>
      <c r="BX49" s="47">
        <f>-VLOOKUP("2310000",'[1]Input BS ACCTS'!$A$5:$DD$397,54,FALSE)/1000</f>
        <v>58203.643530000001</v>
      </c>
      <c r="BY49" s="47">
        <f>-VLOOKUP("2310000",'[1]Input BS ACCTS'!$A$5:$DD$397,55,FALSE)/1000</f>
        <v>53438.296759999997</v>
      </c>
      <c r="BZ49" s="47">
        <f>-VLOOKUP("2310000",'[1]Input BS ACCTS'!$A$5:$DD$397,56,FALSE)/1000</f>
        <v>53973.759039999997</v>
      </c>
      <c r="CA49" s="47">
        <f>-VLOOKUP("2310000",'[1]Input BS ACCTS'!$A$5:$DD$397,57,FALSE)/1000</f>
        <v>86871.59375</v>
      </c>
      <c r="CB49" s="47">
        <f>-VLOOKUP("2310000",'[1]Input BS ACCTS'!$A$5:$DD$397,58,FALSE)/1000</f>
        <v>32647.32645</v>
      </c>
      <c r="CC49" s="47">
        <f>-VLOOKUP("2310000",'[1]Input BS ACCTS'!$A$5:$DD$397,59,FALSE)/1000</f>
        <v>32403.666739999997</v>
      </c>
      <c r="CD49" s="47">
        <f>-VLOOKUP("2310000",'[1]Input BS ACCTS'!$A$5:$DD$397,60,FALSE)/1000</f>
        <v>36635.669780000004</v>
      </c>
      <c r="CE49" s="47">
        <f>-VLOOKUP("2310000",'[1]Input BS ACCTS'!$A$5:$DD$397,61,FALSE)/1000</f>
        <v>44924.345580000001</v>
      </c>
      <c r="CF49" s="47">
        <f>-VLOOKUP("2310000",'[1]Input BS ACCTS'!$A$5:$DD$397,62,FALSE)/1000</f>
        <v>0</v>
      </c>
      <c r="CG49" s="47">
        <f>-VLOOKUP("2310000",'[1]Input BS ACCTS'!$A$5:$DD$397,63,FALSE)/1000</f>
        <v>35033.765530000004</v>
      </c>
      <c r="CH49" s="47">
        <f>-VLOOKUP("2310000",'[1]Input BS ACCTS'!$A$5:$DD$397,64,FALSE)/1000</f>
        <v>53651.64284</v>
      </c>
      <c r="CI49" s="47">
        <f>-VLOOKUP("2310000",'[1]Input BS ACCTS'!$A$5:$DD$397,65,FALSE)/1000</f>
        <v>70274.1008</v>
      </c>
      <c r="CJ49" s="47">
        <f>-VLOOKUP("2310000",'[1]Input BS ACCTS'!$A$5:$DD$397,66,FALSE)/1000</f>
        <v>51017.831979999995</v>
      </c>
      <c r="CK49" s="47">
        <f>-VLOOKUP("2310000",'[1]Input BS ACCTS'!$A$5:$DD$397,67,FALSE)/1000</f>
        <v>43526.147640000003</v>
      </c>
      <c r="CL49" s="47">
        <f>-VLOOKUP("2310000",'[1]Input BS ACCTS'!$A$5:$DD$397,68,FALSE)/1000</f>
        <v>47854.03026</v>
      </c>
      <c r="CM49" s="47">
        <f>-VLOOKUP("2310000",'[1]Input BS ACCTS'!$A$5:$DD$397,69,FALSE)/1000</f>
        <v>32302.624949999998</v>
      </c>
      <c r="CN49" s="47">
        <f>-VLOOKUP("2310000",'[1]Input BS ACCTS'!$A$5:$DD$397,70,FALSE)/1000</f>
        <v>43946.02736</v>
      </c>
      <c r="CO49" s="47">
        <f>-VLOOKUP("2310000",'[1]Input BS ACCTS'!$A$5:$DD$397,71,FALSE)/1000</f>
        <v>30168.533420000003</v>
      </c>
      <c r="CP49" s="47">
        <f>-VLOOKUP("2310000",'[1]Input BS ACCTS'!$A$5:$DD$397,72,FALSE)/1000</f>
        <v>48717.414859999997</v>
      </c>
      <c r="CQ49" s="47">
        <f>-VLOOKUP("2310000",'[1]Input BS ACCTS'!$A$5:$DD$397,73,FALSE)/1000</f>
        <v>44435.200189999996</v>
      </c>
      <c r="CR49" s="47">
        <f>-VLOOKUP("2310000",'[1]Input BS ACCTS'!$A$5:$DD$397,74,FALSE)/1000</f>
        <v>47028.28342</v>
      </c>
      <c r="CS49" s="47">
        <f>-VLOOKUP("2310000",'[1]Input BS ACCTS'!$A$5:$DD$397,75,FALSE)/1000</f>
        <v>77517.735260000001</v>
      </c>
      <c r="CT49" s="47">
        <f>-VLOOKUP("2310000",'[1]Input BS ACCTS'!$A$5:$DD$397,76,FALSE)/1000</f>
        <v>91138.979059999998</v>
      </c>
      <c r="CU49" s="47">
        <f>-VLOOKUP("2310000",'[1]Input BS ACCTS'!$A$5:$DD$397,77,FALSE)/1000</f>
        <v>104160.10278</v>
      </c>
      <c r="CV49" s="47">
        <f>-VLOOKUP("2310000",'[1]Input BS ACCTS'!$A$5:$DD$397,78,FALSE)/1000</f>
        <v>90190.82</v>
      </c>
      <c r="CW49" s="47">
        <f>-VLOOKUP("2310000",'[1]Input BS ACCTS'!$A$5:$DD$397,79,FALSE)/1000</f>
        <v>91778.96686</v>
      </c>
      <c r="CX49" s="47">
        <f>-VLOOKUP("2310000",'[1]Input BS ACCTS'!$A$5:$DD$397,80,FALSE)/1000</f>
        <v>99145.211670000004</v>
      </c>
      <c r="CY49" s="47">
        <f>-VLOOKUP("2310000",'[1]Input BS ACCTS'!$A$5:$DD$397,81,FALSE)/1000</f>
        <v>104893.603</v>
      </c>
      <c r="CZ49" s="47">
        <f>-VLOOKUP("2310000",'[1]Input BS ACCTS'!$A$5:$DD$397,81,FALSE)/1000</f>
        <v>104893.603</v>
      </c>
      <c r="DA49" s="47">
        <f>-VLOOKUP("2310000",'[1]Input BS ACCTS'!$A$5:$DD$397,82,FALSE)/1000</f>
        <v>127591.36500000001</v>
      </c>
      <c r="DB49" s="47">
        <f>-VLOOKUP("2310000",'[1]Input BS ACCTS'!$A$5:$DD$397,83,FALSE)/1000</f>
        <v>145194.42319</v>
      </c>
      <c r="DC49" s="47">
        <f>-VLOOKUP("2310000",'[1]Input BS ACCTS'!$A$5:$DD$397,84,FALSE)/1000</f>
        <v>133998.43737999999</v>
      </c>
      <c r="DD49" s="47">
        <f>-VLOOKUP("2310000",'[1]Input BS ACCTS'!$A$5:$DD$397,85,FALSE)/1000</f>
        <v>144415.73919999998</v>
      </c>
      <c r="DE49" s="47">
        <f>-VLOOKUP("2310000",'[1]Input BS ACCTS'!$A$5:$DD$397,86,FALSE)/1000</f>
        <v>162258.20669999998</v>
      </c>
      <c r="DF49" s="47">
        <f>-VLOOKUP("2310000",'[1]Input BS ACCTS'!$A$5:$DD$397,87,FALSE)/1000</f>
        <v>179528.11132</v>
      </c>
      <c r="DG49" s="47">
        <f>-VLOOKUP("2310000",'[1]Input BS ACCTS'!$A$5:$DD$397,88,FALSE)/1000</f>
        <v>214352.13493999999</v>
      </c>
      <c r="DH49" s="47">
        <f>-VLOOKUP("2310000",'[1]Input BS ACCTS'!$A$5:$DD$397,89,FALSE)/1000</f>
        <v>236511.39825999999</v>
      </c>
      <c r="DI49" s="47">
        <f>-VLOOKUP("2310000",'[1]Input BS ACCTS'!$A$5:$DD$397,90,FALSE)/1000</f>
        <v>221147.72566</v>
      </c>
      <c r="DJ49" s="47">
        <f>-VLOOKUP("2310000",'[1]Input BS ACCTS'!$A$5:$DD$397,91,FALSE)/1000</f>
        <v>10000</v>
      </c>
      <c r="DK49" s="47">
        <f>-VLOOKUP("2310000",'[1]Input BS ACCTS'!$A$5:$DD$397,92,FALSE)/1000</f>
        <v>17122.357</v>
      </c>
      <c r="DL49" s="47">
        <f>-VLOOKUP("2310000",'[1]Input BS ACCTS'!$A$5:$DD$397,93,FALSE)/1000</f>
        <v>87741.525890000004</v>
      </c>
      <c r="DM49" s="47">
        <f>-VLOOKUP("2310000",'[1]Input BS ACCTS'!$A$5:$DD$397,93,FALSE)/1000</f>
        <v>87741.525890000004</v>
      </c>
      <c r="DN49" s="47">
        <f>-VLOOKUP("2310000",'[1]Input BS ACCTS'!$A$5:$DD$397,93,FALSE)/1000</f>
        <v>87741.525890000004</v>
      </c>
      <c r="DO49" s="47">
        <f>-VLOOKUP("2310000",'[1]Input BS ACCTS'!$A$5:$DD$397,93,FALSE)/1000</f>
        <v>87741.525890000004</v>
      </c>
      <c r="DP49" s="47">
        <f>-VLOOKUP("2310000",'[1]Input BS ACCTS'!$A$5:$DD$397,93,FALSE)/1000</f>
        <v>87741.525890000004</v>
      </c>
      <c r="DQ49" s="47">
        <f>-VLOOKUP("2310000",'[1]Input BS ACCTS'!$A$5:$DD$397,93,FALSE)/1000</f>
        <v>87741.525890000004</v>
      </c>
      <c r="DR49" s="47">
        <f>-VLOOKUP("2310000",'[1]Input BS ACCTS'!$A$5:$DD$397,93,FALSE)/1000</f>
        <v>87741.525890000004</v>
      </c>
      <c r="DS49" s="47">
        <f>-VLOOKUP("2310000",'[1]Input BS ACCTS'!$A$5:$DH$397,101,FALSE)/1000</f>
        <v>210398.8</v>
      </c>
      <c r="DT49" s="47">
        <f>-VLOOKUP("2310000",'[1]Input BS ACCTS'!$A$5:$DH$397,102,FALSE)/1000</f>
        <v>158200.10248</v>
      </c>
      <c r="DU49" s="47">
        <f>-VLOOKUP("2310000",'[1]Input BS ACCTS'!$A$5:$DH$397,103,FALSE)/1000</f>
        <v>166329.49208000003</v>
      </c>
      <c r="DV49" s="47">
        <f>-VLOOKUP("2310000",'[1]Input BS ACCTS'!$A$5:$DH$397,104,FALSE)/1000</f>
        <v>174483.97778000002</v>
      </c>
      <c r="DW49" s="47">
        <f>-VLOOKUP("2310000",'[1]Input BS ACCTS'!$A$5:$DH$397,105,FALSE)/1000</f>
        <v>177717.84408000001</v>
      </c>
      <c r="DX49" s="47">
        <f>-VLOOKUP("2310000",'[1]Input BS ACCTS'!$A$5:$DH$397,106,FALSE)/1000</f>
        <v>198344.90317999999</v>
      </c>
      <c r="DY49" s="47">
        <f>-VLOOKUP("2310000",'[1]Input BS ACCTS'!$A$5:$DH$397,107,FALSE)/1000</f>
        <v>100000</v>
      </c>
      <c r="DZ49" s="47">
        <f>-VLOOKUP("2310000",'[1]Input BS ACCTS'!$A$5:$DH$397,108,FALSE)/1000</f>
        <v>100000</v>
      </c>
      <c r="EA49" s="47">
        <f>-VLOOKUP("2310000",'[1]Input BS ACCTS'!$A$5:$DH$397,109,FALSE)/1000</f>
        <v>156383.68047999998</v>
      </c>
      <c r="EB49" s="47">
        <f>-VLOOKUP("2310000",'[1]Input BS ACCTS'!$A$5:$DH$397,110,FALSE)/1000</f>
        <v>159112.87497999999</v>
      </c>
      <c r="EC49" s="47">
        <f>-VLOOKUP("2310000",'[1]Input BS ACCTS'!$A$5:$DH$397,111,FALSE)/1000</f>
        <v>161937.35708000002</v>
      </c>
      <c r="ED49" s="47">
        <f>-VLOOKUP("2310000",'[1]Input BS ACCTS'!$A$5:$DH$397,112,FALSE)/1000</f>
        <v>166097.1501</v>
      </c>
    </row>
    <row r="50" spans="1:134">
      <c r="A50" s="16" t="s">
        <v>44</v>
      </c>
      <c r="B50" s="2" t="s">
        <v>45</v>
      </c>
      <c r="Z50" s="17"/>
      <c r="BW50" s="23">
        <f>-VLOOKUP("2330711",'[1]Input BS ACCTS'!$A$5:$DD$397,53,FALSE)/1000</f>
        <v>50045.713000000003</v>
      </c>
      <c r="BX50" s="23">
        <f>-VLOOKUP("2330711",'[1]Input BS ACCTS'!$A$5:$DD$397,54,FALSE)/1000</f>
        <v>0</v>
      </c>
      <c r="BY50" s="23">
        <f>-VLOOKUP("2330711",'[1]Input BS ACCTS'!$A$5:$DD$397,55,FALSE)/1000</f>
        <v>0</v>
      </c>
      <c r="BZ50" s="23">
        <f>-VLOOKUP("2330711",'[1]Input BS ACCTS'!$A$5:$DD$397,56,FALSE)/1000</f>
        <v>0</v>
      </c>
      <c r="CA50" s="23">
        <f>-VLOOKUP("2330711",'[1]Input BS ACCTS'!$A$5:$DD$397,57,FALSE)/1000</f>
        <v>0</v>
      </c>
      <c r="CB50" s="23">
        <f>-VLOOKUP("2330711",'[1]Input BS ACCTS'!$A$5:$DD$397,58,FALSE)/1000</f>
        <v>0</v>
      </c>
      <c r="CC50" s="23">
        <f>-VLOOKUP("2330711",'[1]Input BS ACCTS'!$A$5:$DD$397,59,FALSE)/1000</f>
        <v>0</v>
      </c>
      <c r="CD50" s="23">
        <f>-VLOOKUP("2330711",'[1]Input BS ACCTS'!$A$5:$DD$397,60,FALSE)/1000</f>
        <v>0</v>
      </c>
      <c r="CE50" s="23">
        <f>-VLOOKUP("2330711",'[1]Input BS ACCTS'!$A$5:$DD$397,61,FALSE)/1000</f>
        <v>0</v>
      </c>
      <c r="CF50" s="23">
        <f>-VLOOKUP("2330711",'[1]Input BS ACCTS'!$A$5:$DD$397,62,FALSE)/1000</f>
        <v>26601.973979999999</v>
      </c>
      <c r="CG50" s="23">
        <f>-VLOOKUP("2330711",'[1]Input BS ACCTS'!$A$5:$DD$397,63,FALSE)/1000</f>
        <v>0</v>
      </c>
      <c r="CH50" s="23">
        <f>-VLOOKUP("2330711",'[1]Input BS ACCTS'!$A$5:$DD$397,64,FALSE)/1000</f>
        <v>0</v>
      </c>
      <c r="CI50" s="23">
        <f>-VLOOKUP("2330711",'[1]Input BS ACCTS'!$A$5:$DD$397,65,FALSE)/1000</f>
        <v>0</v>
      </c>
      <c r="CJ50" s="23">
        <f>-VLOOKUP("2330711",'[1]Input BS ACCTS'!$A$5:$DD$397,66,FALSE)/1000</f>
        <v>0</v>
      </c>
      <c r="CK50" s="23">
        <f>-VLOOKUP("2330711",'[1]Input BS ACCTS'!$A$5:$DD$397,67,FALSE)/1000</f>
        <v>0</v>
      </c>
      <c r="CL50" s="23">
        <f>-VLOOKUP("2330711",'[1]Input BS ACCTS'!$A$5:$DD$397,68,FALSE)/1000</f>
        <v>0</v>
      </c>
      <c r="CM50" s="23">
        <f>-VLOOKUP("2330711",'[1]Input BS ACCTS'!$A$5:$DD$397,69,FALSE)/1000</f>
        <v>0</v>
      </c>
      <c r="CN50" s="23">
        <f>-VLOOKUP("2330711",'[1]Input BS ACCTS'!$A$5:$DD$397,70,FALSE)/1000</f>
        <v>0</v>
      </c>
      <c r="CO50" s="23">
        <f>-VLOOKUP("2330711",'[1]Input BS ACCTS'!$A$5:$DD$397,71,FALSE)/1000</f>
        <v>0</v>
      </c>
      <c r="CP50" s="23">
        <f>-VLOOKUP("2330711",'[1]Input BS ACCTS'!$A$5:$DD$397,72,FALSE)/1000</f>
        <v>0</v>
      </c>
      <c r="CQ50" s="23">
        <f>-VLOOKUP("2330711",'[1]Input BS ACCTS'!$A$5:$DD$397,73,FALSE)/1000</f>
        <v>0</v>
      </c>
      <c r="CR50" s="23">
        <f>-VLOOKUP("2330711",'[1]Input BS ACCTS'!$A$5:$DD$397,74,FALSE)/1000</f>
        <v>0</v>
      </c>
      <c r="CS50" s="23">
        <f>-VLOOKUP("2330711",'[1]Input BS ACCTS'!$A$5:$DD$397,75,FALSE)/1000</f>
        <v>0</v>
      </c>
      <c r="CT50" s="23">
        <f>-VLOOKUP("2330711",'[1]Input BS ACCTS'!$A$5:$DD$397,76,FALSE)/1000</f>
        <v>0</v>
      </c>
      <c r="CU50" s="23">
        <f>-VLOOKUP("2330711",'[1]Input BS ACCTS'!$A$5:$DD$397,77,FALSE)/1000</f>
        <v>0</v>
      </c>
      <c r="CV50" s="23">
        <f>-VLOOKUP("2330711",'[1]Input BS ACCTS'!$A$5:$DD$397,78,FALSE)/1000</f>
        <v>0</v>
      </c>
      <c r="CW50" s="23">
        <f>-VLOOKUP("2330711",'[1]Input BS ACCTS'!$A$5:$DD$397,79,FALSE)/1000</f>
        <v>0</v>
      </c>
      <c r="CX50" s="23">
        <f>-VLOOKUP("2330711",'[1]Input BS ACCTS'!$A$5:$DD$397,80,FALSE)/1000</f>
        <v>0</v>
      </c>
      <c r="CY50" s="23">
        <f>-VLOOKUP("2330711",'[1]Input BS ACCTS'!$A$5:$DD$397,81,FALSE)/1000</f>
        <v>0</v>
      </c>
      <c r="CZ50" s="23">
        <f>-VLOOKUP("2330711",'[1]Input BS ACCTS'!$A$5:$DD$397,81,FALSE)/1000</f>
        <v>0</v>
      </c>
      <c r="DA50" s="23">
        <f>-VLOOKUP("2330711",'[1]Input BS ACCTS'!$A$5:$DD$397,82,FALSE)/1000</f>
        <v>0</v>
      </c>
      <c r="DB50" s="23">
        <f>-VLOOKUP("2330711",'[1]Input BS ACCTS'!$A$5:$DD$397,83,FALSE)/1000</f>
        <v>0</v>
      </c>
      <c r="DC50" s="23">
        <f>-VLOOKUP("2330711",'[1]Input BS ACCTS'!$A$5:$DD$397,84,FALSE)/1000</f>
        <v>0</v>
      </c>
      <c r="DD50" s="23">
        <f>-VLOOKUP("2330711",'[1]Input BS ACCTS'!$A$5:$DD$397,85,FALSE)/1000</f>
        <v>0</v>
      </c>
      <c r="DE50" s="23">
        <f>-VLOOKUP("2330711",'[1]Input BS ACCTS'!$A$5:$DD$397,86,FALSE)/1000</f>
        <v>0</v>
      </c>
      <c r="DF50" s="23">
        <f>-VLOOKUP("2330711",'[1]Input BS ACCTS'!$A$5:$DD$397,87,FALSE)/1000</f>
        <v>0</v>
      </c>
      <c r="DG50" s="23">
        <f>-VLOOKUP("2330711",'[1]Input BS ACCTS'!$A$5:$DD$397,88,FALSE)/1000</f>
        <v>0</v>
      </c>
      <c r="DH50" s="23">
        <f>-VLOOKUP("2330711",'[1]Input BS ACCTS'!$A$5:$DD$397,89,FALSE)/1000</f>
        <v>0</v>
      </c>
      <c r="DI50" s="23">
        <f>-VLOOKUP("2330711",'[1]Input BS ACCTS'!$A$5:$DD$397,90,FALSE)/1000</f>
        <v>0</v>
      </c>
      <c r="DJ50" s="23">
        <f>-VLOOKUP("2330711",'[1]Input BS ACCTS'!$A$5:$DD$397,91,FALSE)/1000</f>
        <v>4181.1040000000003</v>
      </c>
      <c r="DK50" s="23">
        <f>-VLOOKUP("2330711",'[1]Input BS ACCTS'!$A$5:$DD$397,92,FALSE)/1000</f>
        <v>0</v>
      </c>
      <c r="DL50" s="23">
        <f>-VLOOKUP("2330711",'[1]Input BS ACCTS'!$A$5:$DD$397,93,FALSE)/1000</f>
        <v>0</v>
      </c>
      <c r="DM50" s="23">
        <f>-VLOOKUP("2330711",'[1]Input BS ACCTS'!$A$5:$DD$397,93,FALSE)/1000</f>
        <v>0</v>
      </c>
      <c r="DN50" s="23">
        <f>-VLOOKUP("2330711",'[1]Input BS ACCTS'!$A$5:$DD$397,93,FALSE)/1000</f>
        <v>0</v>
      </c>
      <c r="DO50" s="23">
        <f>-VLOOKUP("2330711",'[1]Input BS ACCTS'!$A$5:$DD$397,93,FALSE)/1000</f>
        <v>0</v>
      </c>
      <c r="DP50" s="23">
        <f>-VLOOKUP("2330711",'[1]Input BS ACCTS'!$A$5:$DD$397,93,FALSE)/1000</f>
        <v>0</v>
      </c>
      <c r="DQ50" s="23">
        <f>-VLOOKUP("2330711",'[1]Input BS ACCTS'!$A$5:$DD$397,93,FALSE)/1000</f>
        <v>0</v>
      </c>
      <c r="DR50" s="23">
        <f>-VLOOKUP("2330711",'[1]Input BS ACCTS'!$A$5:$DD$397,93,FALSE)/1000</f>
        <v>0</v>
      </c>
      <c r="DS50" s="23">
        <f>-VLOOKUP("2330711",'[1]Input BS ACCTS'!$A$5:$DH$397,101,FALSE)/1000</f>
        <v>0</v>
      </c>
      <c r="DT50" s="23">
        <f>-VLOOKUP("2330711",'[1]Input BS ACCTS'!$A$5:$DH$397,102,FALSE)/1000</f>
        <v>0</v>
      </c>
      <c r="DU50" s="23">
        <f>-VLOOKUP("2330711",'[1]Input BS ACCTS'!$A$5:$DH$397,103,FALSE)/1000</f>
        <v>0</v>
      </c>
      <c r="DV50" s="23">
        <f>-VLOOKUP("2330711",'[1]Input BS ACCTS'!$A$5:$DH$397,104,FALSE)/1000</f>
        <v>0</v>
      </c>
      <c r="DW50" s="23">
        <f>-VLOOKUP("2330711",'[1]Input BS ACCTS'!$A$5:$DH$397,105,FALSE)/1000</f>
        <v>0</v>
      </c>
      <c r="DX50" s="23">
        <f>-VLOOKUP("2330711",'[1]Input BS ACCTS'!$A$5:$DH$397,106,FALSE)/1000</f>
        <v>0</v>
      </c>
      <c r="DY50" s="23">
        <f>-VLOOKUP("2330711",'[1]Input BS ACCTS'!$A$5:$DH$397,107,FALSE)/1000</f>
        <v>36571.246979999996</v>
      </c>
      <c r="DZ50" s="23">
        <f>-VLOOKUP("2330711",'[1]Input BS ACCTS'!$A$5:$DH$397,108,FALSE)/1000</f>
        <v>24775.692280000003</v>
      </c>
      <c r="EA50" s="23">
        <f>-VLOOKUP("2330711",'[1]Input BS ACCTS'!$A$5:$DH$397,109,FALSE)/1000</f>
        <v>0</v>
      </c>
      <c r="EB50" s="23">
        <f>-VLOOKUP("2330711",'[1]Input BS ACCTS'!$A$5:$DH$397,110,FALSE)/1000</f>
        <v>0</v>
      </c>
      <c r="EC50" s="23">
        <f>-VLOOKUP("2330711",'[1]Input BS ACCTS'!$A$5:$DH$397,111,FALSE)/1000</f>
        <v>0</v>
      </c>
      <c r="ED50" s="23">
        <f>-VLOOKUP("2330711",'[1]Input BS ACCTS'!$A$5:$DH$397,112,FALSE)/1000</f>
        <v>0</v>
      </c>
    </row>
    <row r="51" spans="1:134">
      <c r="B51" s="24" t="s">
        <v>41</v>
      </c>
      <c r="Z51" s="17"/>
      <c r="BW51" s="48">
        <f>SUM(BW49:BW50)</f>
        <v>55045.713000000003</v>
      </c>
      <c r="BX51" s="48">
        <f t="shared" ref="BX51:ED51" si="29">SUM(BX49:BX50)</f>
        <v>58203.643530000001</v>
      </c>
      <c r="BY51" s="48">
        <f t="shared" si="29"/>
        <v>53438.296759999997</v>
      </c>
      <c r="BZ51" s="48">
        <f t="shared" si="29"/>
        <v>53973.759039999997</v>
      </c>
      <c r="CA51" s="48">
        <f t="shared" si="29"/>
        <v>86871.59375</v>
      </c>
      <c r="CB51" s="48">
        <f t="shared" si="29"/>
        <v>32647.32645</v>
      </c>
      <c r="CC51" s="48">
        <f t="shared" si="29"/>
        <v>32403.666739999997</v>
      </c>
      <c r="CD51" s="48">
        <f t="shared" si="29"/>
        <v>36635.669780000004</v>
      </c>
      <c r="CE51" s="48">
        <f t="shared" si="29"/>
        <v>44924.345580000001</v>
      </c>
      <c r="CF51" s="48">
        <f t="shared" si="29"/>
        <v>26601.973979999999</v>
      </c>
      <c r="CG51" s="48">
        <f t="shared" si="29"/>
        <v>35033.765530000004</v>
      </c>
      <c r="CH51" s="48">
        <f t="shared" si="29"/>
        <v>53651.64284</v>
      </c>
      <c r="CI51" s="48">
        <f t="shared" si="29"/>
        <v>70274.1008</v>
      </c>
      <c r="CJ51" s="48">
        <f t="shared" si="29"/>
        <v>51017.831979999995</v>
      </c>
      <c r="CK51" s="48">
        <f t="shared" si="29"/>
        <v>43526.147640000003</v>
      </c>
      <c r="CL51" s="48">
        <f t="shared" si="29"/>
        <v>47854.03026</v>
      </c>
      <c r="CM51" s="48">
        <f t="shared" si="29"/>
        <v>32302.624949999998</v>
      </c>
      <c r="CN51" s="48">
        <f t="shared" si="29"/>
        <v>43946.02736</v>
      </c>
      <c r="CO51" s="48">
        <f t="shared" si="29"/>
        <v>30168.533420000003</v>
      </c>
      <c r="CP51" s="48">
        <f>SUM(CP49:CP50)</f>
        <v>48717.414859999997</v>
      </c>
      <c r="CQ51" s="48">
        <f t="shared" si="29"/>
        <v>44435.200189999996</v>
      </c>
      <c r="CR51" s="48">
        <f t="shared" si="29"/>
        <v>47028.28342</v>
      </c>
      <c r="CS51" s="48">
        <f t="shared" si="29"/>
        <v>77517.735260000001</v>
      </c>
      <c r="CT51" s="48">
        <f t="shared" si="29"/>
        <v>91138.979059999998</v>
      </c>
      <c r="CU51" s="48">
        <f t="shared" si="29"/>
        <v>104160.10278</v>
      </c>
      <c r="CV51" s="48">
        <f t="shared" si="29"/>
        <v>90190.82</v>
      </c>
      <c r="CW51" s="48">
        <f t="shared" si="29"/>
        <v>91778.96686</v>
      </c>
      <c r="CX51" s="48">
        <f t="shared" si="29"/>
        <v>99145.211670000004</v>
      </c>
      <c r="CY51" s="48">
        <f t="shared" si="29"/>
        <v>104893.603</v>
      </c>
      <c r="CZ51" s="48">
        <f t="shared" si="29"/>
        <v>104893.603</v>
      </c>
      <c r="DA51" s="48">
        <f t="shared" si="29"/>
        <v>127591.36500000001</v>
      </c>
      <c r="DB51" s="48">
        <f t="shared" si="29"/>
        <v>145194.42319</v>
      </c>
      <c r="DC51" s="48">
        <f t="shared" si="29"/>
        <v>133998.43737999999</v>
      </c>
      <c r="DD51" s="48">
        <f t="shared" si="29"/>
        <v>144415.73919999998</v>
      </c>
      <c r="DE51" s="48">
        <f t="shared" si="29"/>
        <v>162258.20669999998</v>
      </c>
      <c r="DF51" s="48">
        <f t="shared" si="29"/>
        <v>179528.11132</v>
      </c>
      <c r="DG51" s="48">
        <f t="shared" si="29"/>
        <v>214352.13493999999</v>
      </c>
      <c r="DH51" s="48">
        <f t="shared" si="29"/>
        <v>236511.39825999999</v>
      </c>
      <c r="DI51" s="48">
        <f t="shared" si="29"/>
        <v>221147.72566</v>
      </c>
      <c r="DJ51" s="48">
        <f t="shared" si="29"/>
        <v>14181.103999999999</v>
      </c>
      <c r="DK51" s="48">
        <f t="shared" si="29"/>
        <v>17122.357</v>
      </c>
      <c r="DL51" s="48">
        <f t="shared" si="29"/>
        <v>87741.525890000004</v>
      </c>
      <c r="DM51" s="48">
        <f t="shared" si="29"/>
        <v>87741.525890000004</v>
      </c>
      <c r="DN51" s="48">
        <f t="shared" si="29"/>
        <v>87741.525890000004</v>
      </c>
      <c r="DO51" s="48">
        <f t="shared" si="29"/>
        <v>87741.525890000004</v>
      </c>
      <c r="DP51" s="48">
        <f t="shared" si="29"/>
        <v>87741.525890000004</v>
      </c>
      <c r="DQ51" s="48">
        <f t="shared" si="29"/>
        <v>87741.525890000004</v>
      </c>
      <c r="DR51" s="48">
        <f t="shared" si="29"/>
        <v>87741.525890000004</v>
      </c>
      <c r="DS51" s="48">
        <f t="shared" si="29"/>
        <v>210398.8</v>
      </c>
      <c r="DT51" s="48">
        <f t="shared" si="29"/>
        <v>158200.10248</v>
      </c>
      <c r="DU51" s="48">
        <f t="shared" si="29"/>
        <v>166329.49208000003</v>
      </c>
      <c r="DV51" s="48">
        <f t="shared" si="29"/>
        <v>174483.97778000002</v>
      </c>
      <c r="DW51" s="48">
        <f t="shared" si="29"/>
        <v>177717.84408000001</v>
      </c>
      <c r="DX51" s="48">
        <f t="shared" si="29"/>
        <v>198344.90317999999</v>
      </c>
      <c r="DY51" s="48">
        <f t="shared" si="29"/>
        <v>136571.24698</v>
      </c>
      <c r="DZ51" s="48">
        <f t="shared" si="29"/>
        <v>124775.69228</v>
      </c>
      <c r="EA51" s="48">
        <f t="shared" si="29"/>
        <v>156383.68047999998</v>
      </c>
      <c r="EB51" s="48">
        <f t="shared" si="29"/>
        <v>159112.87497999999</v>
      </c>
      <c r="EC51" s="48">
        <f t="shared" si="29"/>
        <v>161937.35708000002</v>
      </c>
      <c r="ED51" s="48">
        <f t="shared" si="29"/>
        <v>166097.1501</v>
      </c>
    </row>
    <row r="52" spans="1:134">
      <c r="Z52" s="17"/>
    </row>
    <row r="53" spans="1:134">
      <c r="B53" s="17" t="s">
        <v>46</v>
      </c>
      <c r="Z53" s="17"/>
      <c r="CI53" s="26">
        <f>SUM(BW51:CI51)/13</f>
        <v>49208.115213846155</v>
      </c>
      <c r="CJ53" s="26">
        <f t="shared" ref="CJ53:CO53" si="30">SUM(BX51:CJ51)/13</f>
        <v>48898.278212307705</v>
      </c>
      <c r="CK53" s="26">
        <f t="shared" si="30"/>
        <v>47769.240066923077</v>
      </c>
      <c r="CL53" s="26">
        <f t="shared" si="30"/>
        <v>47339.681105384618</v>
      </c>
      <c r="CM53" s="26">
        <f t="shared" si="30"/>
        <v>45672.670790769233</v>
      </c>
      <c r="CN53" s="26">
        <f t="shared" si="30"/>
        <v>42370.70414538461</v>
      </c>
      <c r="CO53" s="26">
        <f t="shared" si="30"/>
        <v>42180.02775846154</v>
      </c>
      <c r="CP53" s="26">
        <f t="shared" ref="CP53:ED53" si="31">SUM(CD51:CP51)/13</f>
        <v>43434.931459999993</v>
      </c>
      <c r="CQ53" s="26">
        <f t="shared" si="31"/>
        <v>44034.895337692302</v>
      </c>
      <c r="CR53" s="26">
        <f t="shared" si="31"/>
        <v>44196.736709999997</v>
      </c>
      <c r="CS53" s="26">
        <f t="shared" si="31"/>
        <v>48113.333731538463</v>
      </c>
      <c r="CT53" s="26">
        <f t="shared" si="31"/>
        <v>52429.119387692313</v>
      </c>
      <c r="CU53" s="26">
        <f t="shared" si="31"/>
        <v>56314.385536923081</v>
      </c>
      <c r="CV53" s="26">
        <f t="shared" si="31"/>
        <v>57846.440859999988</v>
      </c>
      <c r="CW53" s="26">
        <f t="shared" si="31"/>
        <v>60981.912773846147</v>
      </c>
      <c r="CX53" s="26">
        <f t="shared" si="31"/>
        <v>65260.302314615386</v>
      </c>
      <c r="CY53" s="26">
        <f t="shared" si="31"/>
        <v>69647.961756153862</v>
      </c>
      <c r="CZ53" s="26">
        <f t="shared" si="31"/>
        <v>75231.883144615393</v>
      </c>
      <c r="DA53" s="26">
        <f t="shared" si="31"/>
        <v>81666.139886153862</v>
      </c>
      <c r="DB53" s="26">
        <f t="shared" si="31"/>
        <v>90514.285253076916</v>
      </c>
      <c r="DC53" s="26">
        <f t="shared" si="31"/>
        <v>97074.363908461542</v>
      </c>
      <c r="DD53" s="26">
        <f t="shared" si="31"/>
        <v>104765.17460153847</v>
      </c>
      <c r="DE53" s="26">
        <f t="shared" si="31"/>
        <v>113629.01485384614</v>
      </c>
      <c r="DF53" s="26">
        <f t="shared" si="31"/>
        <v>121475.96685846151</v>
      </c>
      <c r="DG53" s="26">
        <f t="shared" si="31"/>
        <v>130953.90192615383</v>
      </c>
      <c r="DH53" s="26">
        <f t="shared" si="31"/>
        <v>141134.77080923074</v>
      </c>
      <c r="DI53" s="26">
        <f t="shared" si="31"/>
        <v>151208.37893692305</v>
      </c>
      <c r="DJ53" s="26">
        <f t="shared" si="31"/>
        <v>145239.31256307691</v>
      </c>
      <c r="DK53" s="26">
        <f t="shared" si="31"/>
        <v>138929.86220384616</v>
      </c>
      <c r="DL53" s="26">
        <f t="shared" si="31"/>
        <v>137610.47165692307</v>
      </c>
      <c r="DM53" s="26">
        <f t="shared" si="31"/>
        <v>136291.08110999997</v>
      </c>
      <c r="DN53" s="26">
        <f t="shared" si="31"/>
        <v>133225.70887076922</v>
      </c>
      <c r="DO53" s="26">
        <f t="shared" si="31"/>
        <v>128806.25523230768</v>
      </c>
      <c r="DP53" s="26">
        <f t="shared" si="31"/>
        <v>125248.03127153845</v>
      </c>
      <c r="DQ53" s="26">
        <f t="shared" si="31"/>
        <v>120888.47640153844</v>
      </c>
      <c r="DR53" s="26">
        <f t="shared" si="31"/>
        <v>115156.42403153844</v>
      </c>
      <c r="DS53" s="26">
        <f t="shared" si="31"/>
        <v>117531.09239153845</v>
      </c>
      <c r="DT53" s="26">
        <f t="shared" si="31"/>
        <v>113211.70527923078</v>
      </c>
      <c r="DU53" s="26">
        <f t="shared" si="31"/>
        <v>107813.09711153846</v>
      </c>
      <c r="DV53" s="26">
        <f t="shared" si="31"/>
        <v>104223.57804384617</v>
      </c>
      <c r="DW53" s="26">
        <f t="shared" si="31"/>
        <v>116803.32728076926</v>
      </c>
      <c r="DX53" s="26">
        <f t="shared" si="31"/>
        <v>130743.52314076923</v>
      </c>
      <c r="DY53" s="26">
        <f t="shared" si="31"/>
        <v>134499.65553230772</v>
      </c>
      <c r="DZ53" s="26">
        <f t="shared" si="31"/>
        <v>137348.43756230769</v>
      </c>
      <c r="EA53" s="26">
        <f t="shared" si="31"/>
        <v>142628.60330000002</v>
      </c>
      <c r="EB53" s="26">
        <f t="shared" si="31"/>
        <v>148118.70707615383</v>
      </c>
      <c r="EC53" s="26">
        <f t="shared" si="31"/>
        <v>153826.07870615387</v>
      </c>
      <c r="ED53" s="26">
        <f t="shared" si="31"/>
        <v>159853.43441461539</v>
      </c>
    </row>
    <row r="54" spans="1:134">
      <c r="Z54" s="17"/>
    </row>
    <row r="55" spans="1:134">
      <c r="B55" s="14" t="s">
        <v>47</v>
      </c>
      <c r="Z55" s="17"/>
      <c r="BW55" s="15">
        <f t="shared" ref="BW55:ED55" si="32">+BW12</f>
        <v>43126</v>
      </c>
      <c r="BX55" s="15">
        <f t="shared" si="32"/>
        <v>43156</v>
      </c>
      <c r="BY55" s="15">
        <f t="shared" si="32"/>
        <v>43186</v>
      </c>
      <c r="BZ55" s="15">
        <f t="shared" si="32"/>
        <v>43216</v>
      </c>
      <c r="CA55" s="15">
        <f t="shared" si="32"/>
        <v>43246</v>
      </c>
      <c r="CB55" s="15">
        <f t="shared" si="32"/>
        <v>43276</v>
      </c>
      <c r="CC55" s="15">
        <f t="shared" si="32"/>
        <v>43306</v>
      </c>
      <c r="CD55" s="15">
        <f t="shared" si="32"/>
        <v>43336</v>
      </c>
      <c r="CE55" s="15">
        <f t="shared" si="32"/>
        <v>43366</v>
      </c>
      <c r="CF55" s="15">
        <f t="shared" si="32"/>
        <v>43396</v>
      </c>
      <c r="CG55" s="15">
        <f t="shared" si="32"/>
        <v>43426</v>
      </c>
      <c r="CH55" s="15">
        <f t="shared" si="32"/>
        <v>43456</v>
      </c>
      <c r="CI55" s="15">
        <f t="shared" si="32"/>
        <v>43486</v>
      </c>
      <c r="CJ55" s="15">
        <f t="shared" si="32"/>
        <v>43516</v>
      </c>
      <c r="CK55" s="15">
        <f t="shared" si="32"/>
        <v>43546</v>
      </c>
      <c r="CL55" s="15">
        <f t="shared" si="32"/>
        <v>43576</v>
      </c>
      <c r="CM55" s="15">
        <f t="shared" si="32"/>
        <v>43606</v>
      </c>
      <c r="CN55" s="15">
        <f t="shared" si="32"/>
        <v>43636</v>
      </c>
      <c r="CO55" s="15">
        <f t="shared" si="32"/>
        <v>43666</v>
      </c>
      <c r="CP55" s="15">
        <f t="shared" si="32"/>
        <v>43696</v>
      </c>
      <c r="CQ55" s="15">
        <f t="shared" si="32"/>
        <v>43726</v>
      </c>
      <c r="CR55" s="15">
        <f t="shared" si="32"/>
        <v>43756</v>
      </c>
      <c r="CS55" s="15">
        <f t="shared" si="32"/>
        <v>43786</v>
      </c>
      <c r="CT55" s="15">
        <f t="shared" si="32"/>
        <v>43816</v>
      </c>
      <c r="CU55" s="15">
        <f t="shared" si="32"/>
        <v>43846</v>
      </c>
      <c r="CV55" s="15">
        <f t="shared" si="32"/>
        <v>43876</v>
      </c>
      <c r="CW55" s="15">
        <f t="shared" si="32"/>
        <v>43906</v>
      </c>
      <c r="CX55" s="15">
        <f t="shared" si="32"/>
        <v>43936</v>
      </c>
      <c r="CY55" s="15">
        <f t="shared" si="32"/>
        <v>43966</v>
      </c>
      <c r="CZ55" s="15">
        <f t="shared" si="32"/>
        <v>43996</v>
      </c>
      <c r="DA55" s="15">
        <f t="shared" si="32"/>
        <v>44026</v>
      </c>
      <c r="DB55" s="15">
        <f t="shared" si="32"/>
        <v>44056</v>
      </c>
      <c r="DC55" s="15">
        <f t="shared" si="32"/>
        <v>44086</v>
      </c>
      <c r="DD55" s="15">
        <f t="shared" si="32"/>
        <v>44116</v>
      </c>
      <c r="DE55" s="15">
        <f t="shared" si="32"/>
        <v>44146</v>
      </c>
      <c r="DF55" s="15">
        <f t="shared" si="32"/>
        <v>44176</v>
      </c>
      <c r="DG55" s="15">
        <f t="shared" si="32"/>
        <v>44206</v>
      </c>
      <c r="DH55" s="15">
        <f t="shared" si="32"/>
        <v>44236</v>
      </c>
      <c r="DI55" s="15">
        <f t="shared" si="32"/>
        <v>44266</v>
      </c>
      <c r="DJ55" s="15">
        <f t="shared" si="32"/>
        <v>44296</v>
      </c>
      <c r="DK55" s="15">
        <f t="shared" si="32"/>
        <v>44326</v>
      </c>
      <c r="DL55" s="15">
        <f t="shared" si="32"/>
        <v>44356</v>
      </c>
      <c r="DM55" s="15">
        <f t="shared" si="32"/>
        <v>44386</v>
      </c>
      <c r="DN55" s="15">
        <f t="shared" si="32"/>
        <v>44416</v>
      </c>
      <c r="DO55" s="15">
        <f t="shared" si="32"/>
        <v>44446</v>
      </c>
      <c r="DP55" s="15">
        <f t="shared" si="32"/>
        <v>44476</v>
      </c>
      <c r="DQ55" s="15">
        <f t="shared" si="32"/>
        <v>44506</v>
      </c>
      <c r="DR55" s="15">
        <f t="shared" si="32"/>
        <v>44536</v>
      </c>
      <c r="DS55" s="15">
        <f t="shared" si="32"/>
        <v>44566</v>
      </c>
      <c r="DT55" s="15">
        <f t="shared" si="32"/>
        <v>44596</v>
      </c>
      <c r="DU55" s="15">
        <f t="shared" si="32"/>
        <v>44626</v>
      </c>
      <c r="DV55" s="15">
        <f t="shared" si="32"/>
        <v>44656</v>
      </c>
      <c r="DW55" s="15">
        <f t="shared" si="32"/>
        <v>44686</v>
      </c>
      <c r="DX55" s="15">
        <f t="shared" si="32"/>
        <v>44716</v>
      </c>
      <c r="DY55" s="15">
        <f t="shared" si="32"/>
        <v>44746</v>
      </c>
      <c r="DZ55" s="15">
        <f t="shared" si="32"/>
        <v>44776</v>
      </c>
      <c r="EA55" s="15">
        <f t="shared" si="32"/>
        <v>44806</v>
      </c>
      <c r="EB55" s="15">
        <f t="shared" si="32"/>
        <v>44836</v>
      </c>
      <c r="EC55" s="15">
        <f t="shared" si="32"/>
        <v>44866</v>
      </c>
      <c r="ED55" s="15">
        <f t="shared" si="32"/>
        <v>44896</v>
      </c>
    </row>
    <row r="56" spans="1:134">
      <c r="Z56" s="17"/>
    </row>
    <row r="57" spans="1:134">
      <c r="A57" s="16" t="s">
        <v>48</v>
      </c>
      <c r="B57" s="17" t="s">
        <v>49</v>
      </c>
      <c r="Z57" s="17"/>
      <c r="BW57" s="33">
        <f>VLOOKUP("7500020",'[1]Input IS ACCTS'!$A$6:$DH$513,52,FALSE)/1000</f>
        <v>1.3020799999999999</v>
      </c>
      <c r="BX57" s="33">
        <f>VLOOKUP("7500020",'[1]Input IS ACCTS'!$A$6:$DH$513,53,FALSE)/1000</f>
        <v>2.3383099999999999</v>
      </c>
      <c r="BY57" s="33">
        <f>VLOOKUP("7500020",'[1]Input IS ACCTS'!$A$6:$DH$513,54,FALSE)/1000</f>
        <v>1.5179200000000002</v>
      </c>
      <c r="BZ57" s="33">
        <f>VLOOKUP("7500020",'[1]Input IS ACCTS'!$A$6:$DH$513,55,FALSE)/1000</f>
        <v>1.3236400000000001</v>
      </c>
      <c r="CA57" s="33">
        <f>VLOOKUP("7500020",'[1]Input IS ACCTS'!$A$6:$DH$513,56,FALSE)/1000</f>
        <v>13.990110000000001</v>
      </c>
      <c r="CB57" s="33">
        <f>VLOOKUP("7500020",'[1]Input IS ACCTS'!$A$6:$DH$513,57,FALSE)/1000</f>
        <v>14.26085</v>
      </c>
      <c r="CC57" s="33">
        <f>VLOOKUP("7500020",'[1]Input IS ACCTS'!$A$6:$DH$513,58,FALSE)/1000</f>
        <v>12.071999999999999</v>
      </c>
      <c r="CD57" s="33">
        <f>VLOOKUP("7500020",'[1]Input IS ACCTS'!$A$6:$DH$513,59,FALSE)/1000</f>
        <v>6.0135299999999994</v>
      </c>
      <c r="CE57" s="33">
        <f>VLOOKUP("7500020",'[1]Input IS ACCTS'!$A$6:$DH$513,60,FALSE)/1000</f>
        <v>8.2726399999999991</v>
      </c>
      <c r="CF57" s="33">
        <f>VLOOKUP("7500020",'[1]Input IS ACCTS'!$A$6:$DH$513,61,FALSE)/1000</f>
        <v>2.6476700000000002</v>
      </c>
      <c r="CG57" s="33">
        <f>VLOOKUP("7500020",'[1]Input IS ACCTS'!$A$6:$DH$513,62,FALSE)/1000</f>
        <v>40.228199999999994</v>
      </c>
      <c r="CH57" s="33">
        <f>VLOOKUP("7500020",'[1]Input IS ACCTS'!$A$6:$DH$513,63,FALSE)/1000</f>
        <v>83.725909999999999</v>
      </c>
      <c r="CI57" s="33">
        <f>VLOOKUP("7500020",'[1]Input IS ACCTS'!$A$6:$DH$513,64,FALSE)/1000</f>
        <v>72.850350000000006</v>
      </c>
      <c r="CJ57" s="33">
        <f>VLOOKUP("7500020",'[1]Input IS ACCTS'!$A$6:$DH$513,65,FALSE)/1000</f>
        <v>55.83426</v>
      </c>
      <c r="CK57" s="33">
        <f>VLOOKUP("7500020",'[1]Input IS ACCTS'!$A$6:$DH$513,66,FALSE)/1000</f>
        <v>46.345579999999998</v>
      </c>
      <c r="CL57" s="33">
        <f>VLOOKUP("7500020",'[1]Input IS ACCTS'!$A$6:$DH$513,67,FALSE)/1000</f>
        <v>40.380199999999995</v>
      </c>
      <c r="CM57" s="33">
        <f>VLOOKUP("7500020",'[1]Input IS ACCTS'!$A$6:$DH$513,68,FALSE)/1000</f>
        <v>33.115960000000001</v>
      </c>
      <c r="CN57" s="33">
        <f>VLOOKUP("7500020",'[1]Input IS ACCTS'!$A$6:$DH$513,69,FALSE)/1000</f>
        <v>28.771459999999998</v>
      </c>
      <c r="CO57" s="33">
        <f>VLOOKUP("7500020",'[1]Input IS ACCTS'!$A$6:$DH$513,70,FALSE)/1000</f>
        <v>32.779379999999996</v>
      </c>
      <c r="CP57" s="33">
        <f>VLOOKUP("7500020",'[1]Input IS ACCTS'!$A$6:$DH$513,71,FALSE)/1000</f>
        <v>89.666149999999988</v>
      </c>
      <c r="CQ57" s="33">
        <f>VLOOKUP("7500020",'[1]Input IS ACCTS'!$A$6:$DH$513,72,FALSE)/1000</f>
        <v>56.198260000000005</v>
      </c>
      <c r="CR57" s="33">
        <f>VLOOKUP("7500020",'[1]Input IS ACCTS'!$A$6:$DH$513,73,FALSE)/1000</f>
        <v>18.126990000000003</v>
      </c>
      <c r="CS57" s="33">
        <f>VLOOKUP("7500020",'[1]Input IS ACCTS'!$A$6:$DH$513,74,FALSE)/1000</f>
        <v>83.670259999999999</v>
      </c>
      <c r="CT57" s="33">
        <f>VLOOKUP("7500020",'[1]Input IS ACCTS'!$A$6:$DH$513,75,FALSE)/1000</f>
        <v>35.241610000000001</v>
      </c>
      <c r="CU57" s="33">
        <f>VLOOKUP("7500020",'[1]Input IS ACCTS'!$A$6:$DH$513,76,FALSE)/1000</f>
        <v>36.112730000000006</v>
      </c>
      <c r="CV57" s="33">
        <f>VLOOKUP("7500020",'[1]Input IS ACCTS'!$A$6:$DH$513,77,FALSE)/1000</f>
        <v>8.0818599999999989</v>
      </c>
      <c r="CW57" s="33">
        <f>VLOOKUP("7500020",'[1]Input IS ACCTS'!$A$6:$DH$513,78,FALSE)/1000</f>
        <v>62.323749999999997</v>
      </c>
      <c r="CX57" s="33">
        <f>VLOOKUP("7500020",'[1]Input IS ACCTS'!$A$6:$DH$513,79,FALSE)/1000</f>
        <v>30.054939999999998</v>
      </c>
      <c r="CY57" s="33">
        <f>VLOOKUP("7500020",'[1]Input IS ACCTS'!$A$6:$DH$513,80,FALSE)/1000</f>
        <v>10.575659999999999</v>
      </c>
      <c r="CZ57" s="33">
        <f>VLOOKUP("7500020",'[1]Input IS ACCTS'!$A$6:$DH$513,80,FALSE)/1000</f>
        <v>10.575659999999999</v>
      </c>
      <c r="DA57" s="33">
        <f>VLOOKUP("7500020",'[1]Input IS ACCTS'!$A$6:$DH$513,80,FALSE)/1000</f>
        <v>10.575659999999999</v>
      </c>
      <c r="DB57" s="33">
        <f>VLOOKUP("7500020",'[1]Input IS ACCTS'!$A$6:$DH$513,80,FALSE)/1000</f>
        <v>10.575659999999999</v>
      </c>
      <c r="DC57" s="33">
        <f>VLOOKUP("7500020",'[1]Input IS ACCTS'!$A$6:$DH$513,80,FALSE)/1000</f>
        <v>10.575659999999999</v>
      </c>
      <c r="DD57" s="33">
        <f>VLOOKUP("7500020",'[1]Input IS ACCTS'!$A$6:$DH$513,80,FALSE)/1000</f>
        <v>10.575659999999999</v>
      </c>
      <c r="DE57" s="33">
        <f>VLOOKUP("7500020",'[1]Input IS ACCTS'!$A$6:$DH$513,80,FALSE)/1000</f>
        <v>10.575659999999999</v>
      </c>
      <c r="DF57" s="33">
        <f>VLOOKUP("7500020",'[1]Input IS ACCTS'!$A$6:$DH$513,80,FALSE)/1000</f>
        <v>10.575659999999999</v>
      </c>
      <c r="DG57" s="33">
        <f>VLOOKUP("7500020",'[1]Input IS ACCTS'!$A$6:$DH$513,80,FALSE)/1000</f>
        <v>10.575659999999999</v>
      </c>
      <c r="DH57" s="33">
        <f>VLOOKUP("7500020",'[1]Input IS ACCTS'!$A$6:$DH$513,80,FALSE)/1000</f>
        <v>10.575659999999999</v>
      </c>
      <c r="DI57" s="33">
        <f>VLOOKUP("7500020",'[1]Input IS ACCTS'!$A$6:$DH$513,80,FALSE)/1000</f>
        <v>10.575659999999999</v>
      </c>
      <c r="DJ57" s="33">
        <f>VLOOKUP("7500020",'[1]Input IS ACCTS'!$A$6:$DH$513,80,FALSE)/1000</f>
        <v>10.575659999999999</v>
      </c>
      <c r="DK57" s="33">
        <f>VLOOKUP("7500020",'[1]Input IS ACCTS'!$A$6:$DH$513,80,FALSE)/1000</f>
        <v>10.575659999999999</v>
      </c>
      <c r="DL57" s="33">
        <f>VLOOKUP("7500020",'[1]Input IS ACCTS'!$A$6:$DH$513,80,FALSE)/1000</f>
        <v>10.575659999999999</v>
      </c>
      <c r="DM57" s="33">
        <f>VLOOKUP("7500020",'[1]Input IS ACCTS'!$A$6:$DH$513,80,FALSE)/1000</f>
        <v>10.575659999999999</v>
      </c>
      <c r="DN57" s="33">
        <f>VLOOKUP("7500020",'[1]Input IS ACCTS'!$A$6:$DH$513,80,FALSE)/1000</f>
        <v>10.575659999999999</v>
      </c>
      <c r="DO57" s="33">
        <f>VLOOKUP("7500020",'[1]Input IS ACCTS'!$A$6:$DH$513,80,FALSE)/1000</f>
        <v>10.575659999999999</v>
      </c>
      <c r="DP57" s="33">
        <f>VLOOKUP("7500020",'[1]Input IS ACCTS'!$A$6:$DH$513,80,FALSE)/1000</f>
        <v>10.575659999999999</v>
      </c>
      <c r="DQ57" s="33">
        <f>VLOOKUP("7500020",'[1]Input IS ACCTS'!$A$6:$DH$513,80,FALSE)/1000</f>
        <v>10.575659999999999</v>
      </c>
      <c r="DR57" s="33">
        <f>VLOOKUP("7500020",'[1]Input IS ACCTS'!$A$6:$DH$513,80,FALSE)/1000</f>
        <v>10.575659999999999</v>
      </c>
      <c r="DS57" s="33">
        <f>VLOOKUP("7500020",'[1]Input IS ACCTS'!$A$6:$DH$513,100,FALSE)/1000</f>
        <v>0</v>
      </c>
      <c r="DT57" s="33">
        <f>VLOOKUP("7500020",'[1]Input IS ACCTS'!$A$6:$DH$513,101,FALSE)/1000</f>
        <v>0</v>
      </c>
      <c r="DU57" s="33">
        <f>VLOOKUP("7500020",'[1]Input IS ACCTS'!$A$6:$DH$513,102,FALSE)/1000</f>
        <v>0</v>
      </c>
      <c r="DV57" s="33">
        <f>VLOOKUP("7500020",'[1]Input IS ACCTS'!$A$6:$DH$513,103,FALSE)/1000</f>
        <v>0</v>
      </c>
      <c r="DW57" s="33">
        <f>VLOOKUP("7500020",'[1]Input IS ACCTS'!$A$6:$DH$513,104,FALSE)/1000</f>
        <v>0</v>
      </c>
      <c r="DX57" s="33">
        <f>VLOOKUP("7500020",'[1]Input IS ACCTS'!$A$6:$DH$513,105,FALSE)/1000</f>
        <v>0</v>
      </c>
      <c r="DY57" s="33">
        <f>VLOOKUP("7500020",'[1]Input IS ACCTS'!$A$6:$DH$513,106,FALSE)/1000</f>
        <v>0</v>
      </c>
      <c r="DZ57" s="33">
        <f>VLOOKUP("7500020",'[1]Input IS ACCTS'!$A$6:$DH$513,107,FALSE)/1000</f>
        <v>0</v>
      </c>
      <c r="EA57" s="33">
        <f>VLOOKUP("7500020",'[1]Input IS ACCTS'!$A$6:$DH$513,108,FALSE)/1000</f>
        <v>0</v>
      </c>
      <c r="EB57" s="33">
        <f>VLOOKUP("7500020",'[1]Input IS ACCTS'!$A$6:$DH$513,109,FALSE)/1000</f>
        <v>0</v>
      </c>
      <c r="EC57" s="33">
        <f>VLOOKUP("7500020",'[1]Input IS ACCTS'!$A$6:$DH$513,110,FALSE)/1000</f>
        <v>0</v>
      </c>
      <c r="ED57" s="33">
        <f>VLOOKUP("7500020",'[1]Input IS ACCTS'!$A$6:$DH$513,111,FALSE)/1000</f>
        <v>0</v>
      </c>
    </row>
    <row r="58" spans="1:134">
      <c r="A58" s="16" t="s">
        <v>50</v>
      </c>
      <c r="B58" s="2" t="s">
        <v>51</v>
      </c>
      <c r="Z58" s="17"/>
      <c r="BW58" s="33">
        <f>VLOOKUP("7500080",'[1]Input IS ACCTS'!$A$6:$DH$513,52,FALSE)/1000</f>
        <v>5.8760699999999995</v>
      </c>
      <c r="BX58" s="33">
        <f>VLOOKUP("7500080",'[1]Input IS ACCTS'!$A$6:$DH$513,53,FALSE)/1000</f>
        <v>194.60948999999999</v>
      </c>
      <c r="BY58" s="33">
        <f>VLOOKUP("7500080",'[1]Input IS ACCTS'!$A$6:$DH$513,54,FALSE)/1000</f>
        <v>-182.38129999999998</v>
      </c>
      <c r="BZ58" s="33">
        <f>VLOOKUP("7500080",'[1]Input IS ACCTS'!$A$6:$DH$513,55,FALSE)/1000</f>
        <v>6.40212</v>
      </c>
      <c r="CA58" s="33">
        <f>VLOOKUP("7500080",'[1]Input IS ACCTS'!$A$6:$DH$513,56,FALSE)/1000</f>
        <v>53.475589999999997</v>
      </c>
      <c r="CB58" s="33">
        <f>VLOOKUP("7500080",'[1]Input IS ACCTS'!$A$6:$DH$513,57,FALSE)/1000</f>
        <v>70.464280000000002</v>
      </c>
      <c r="CC58" s="33">
        <f>VLOOKUP("7500080",'[1]Input IS ACCTS'!$A$6:$DH$513,58,FALSE)/1000</f>
        <v>5.8760699999999995</v>
      </c>
      <c r="CD58" s="33">
        <f>VLOOKUP("7500080",'[1]Input IS ACCTS'!$A$6:$DH$513,59,FALSE)/1000</f>
        <v>5.8760699999999995</v>
      </c>
      <c r="CE58" s="33">
        <f>VLOOKUP("7500080",'[1]Input IS ACCTS'!$A$6:$DH$513,60,FALSE)/1000</f>
        <v>8.8372799999999998</v>
      </c>
      <c r="CF58" s="33">
        <f>VLOOKUP("7500080",'[1]Input IS ACCTS'!$A$6:$DH$513,61,FALSE)/1000</f>
        <v>10.405479999999999</v>
      </c>
      <c r="CG58" s="33">
        <f>VLOOKUP("7500080",'[1]Input IS ACCTS'!$A$6:$DH$513,62,FALSE)/1000</f>
        <v>6.5460000000000003</v>
      </c>
      <c r="CH58" s="33">
        <f>VLOOKUP("7500080",'[1]Input IS ACCTS'!$A$6:$DH$513,63,FALSE)/1000</f>
        <v>70.15822</v>
      </c>
      <c r="CI58" s="33">
        <f>VLOOKUP("7500080",'[1]Input IS ACCTS'!$A$6:$DH$513,64,FALSE)/1000</f>
        <v>149.34923999999998</v>
      </c>
      <c r="CJ58" s="33">
        <f>VLOOKUP("7500080",'[1]Input IS ACCTS'!$A$6:$DH$513,65,FALSE)/1000</f>
        <v>149.27270999999999</v>
      </c>
      <c r="CK58" s="33">
        <f>VLOOKUP("7500080",'[1]Input IS ACCTS'!$A$6:$DH$513,66,FALSE)/1000</f>
        <v>136.38771</v>
      </c>
      <c r="CL58" s="33">
        <f>VLOOKUP("7500080",'[1]Input IS ACCTS'!$A$6:$DH$513,67,FALSE)/1000</f>
        <v>128.59539999999998</v>
      </c>
      <c r="CM58" s="33">
        <f>VLOOKUP("7500080",'[1]Input IS ACCTS'!$A$6:$DH$513,68,FALSE)/1000</f>
        <v>75.832619999999991</v>
      </c>
      <c r="CN58" s="33">
        <f>VLOOKUP("7500080",'[1]Input IS ACCTS'!$A$6:$DH$513,69,FALSE)/1000</f>
        <v>-142.66913</v>
      </c>
      <c r="CO58" s="33">
        <f>VLOOKUP("7500080",'[1]Input IS ACCTS'!$A$6:$DH$513,70,FALSE)/1000</f>
        <v>82.85812</v>
      </c>
      <c r="CP58" s="33">
        <f>VLOOKUP("7500080",'[1]Input IS ACCTS'!$A$6:$DH$513,71,FALSE)/1000</f>
        <v>12.758089999999999</v>
      </c>
      <c r="CQ58" s="33">
        <f>VLOOKUP("7500080",'[1]Input IS ACCTS'!$A$6:$DH$513,72,FALSE)/1000</f>
        <v>55.656330000000004</v>
      </c>
      <c r="CR58" s="33">
        <f>VLOOKUP("7500080",'[1]Input IS ACCTS'!$A$6:$DH$513,73,FALSE)/1000</f>
        <v>104.93792999999999</v>
      </c>
      <c r="CS58" s="33">
        <f>VLOOKUP("7500080",'[1]Input IS ACCTS'!$A$6:$DH$513,74,FALSE)/1000</f>
        <v>46.607099999999996</v>
      </c>
      <c r="CT58" s="33">
        <f>VLOOKUP("7500080",'[1]Input IS ACCTS'!$A$6:$DH$513,75,FALSE)/1000</f>
        <v>151.91215</v>
      </c>
      <c r="CU58" s="33">
        <f>VLOOKUP("7500080",'[1]Input IS ACCTS'!$A$6:$DH$513,76,FALSE)/1000</f>
        <v>174.10282000000001</v>
      </c>
      <c r="CV58" s="33">
        <f>VLOOKUP("7500080",'[1]Input IS ACCTS'!$A$6:$DH$513,77,FALSE)/1000</f>
        <v>81.033109999999994</v>
      </c>
      <c r="CW58" s="33">
        <f>VLOOKUP("7500080",'[1]Input IS ACCTS'!$A$6:$DH$513,78,FALSE)/1000</f>
        <v>173.38065</v>
      </c>
      <c r="CX58" s="33">
        <f>VLOOKUP("7500080",'[1]Input IS ACCTS'!$A$6:$DH$513,79,FALSE)/1000</f>
        <v>63.600089999999994</v>
      </c>
      <c r="CY58" s="33">
        <f>VLOOKUP("7500080",'[1]Input IS ACCTS'!$A$6:$DH$513,80,FALSE)/1000</f>
        <v>82.03813000000001</v>
      </c>
      <c r="CZ58" s="33">
        <f>VLOOKUP("7500080",'[1]Input IS ACCTS'!$A$6:$DH$513,80,FALSE)/1000</f>
        <v>82.03813000000001</v>
      </c>
      <c r="DA58" s="33">
        <f>VLOOKUP("7500080",'[1]Input IS ACCTS'!$A$6:$DH$513,80,FALSE)/1000</f>
        <v>82.03813000000001</v>
      </c>
      <c r="DB58" s="33">
        <f>VLOOKUP("7500080",'[1]Input IS ACCTS'!$A$6:$DH$513,80,FALSE)/1000</f>
        <v>82.03813000000001</v>
      </c>
      <c r="DC58" s="33">
        <f>VLOOKUP("7500080",'[1]Input IS ACCTS'!$A$6:$DH$513,80,FALSE)/1000</f>
        <v>82.03813000000001</v>
      </c>
      <c r="DD58" s="33">
        <f>VLOOKUP("7500080",'[1]Input IS ACCTS'!$A$6:$DH$513,80,FALSE)/1000</f>
        <v>82.03813000000001</v>
      </c>
      <c r="DE58" s="33">
        <f>VLOOKUP("7500080",'[1]Input IS ACCTS'!$A$6:$DH$513,80,FALSE)/1000</f>
        <v>82.03813000000001</v>
      </c>
      <c r="DF58" s="33">
        <f>VLOOKUP("7500080",'[1]Input IS ACCTS'!$A$6:$DH$513,80,FALSE)/1000</f>
        <v>82.03813000000001</v>
      </c>
      <c r="DG58" s="33">
        <f>VLOOKUP("7500080",'[1]Input IS ACCTS'!$A$6:$DH$513,80,FALSE)/1000</f>
        <v>82.03813000000001</v>
      </c>
      <c r="DH58" s="33">
        <f>VLOOKUP("7500080",'[1]Input IS ACCTS'!$A$6:$DH$513,80,FALSE)/1000</f>
        <v>82.03813000000001</v>
      </c>
      <c r="DI58" s="33">
        <f>VLOOKUP("7500080",'[1]Input IS ACCTS'!$A$6:$DH$513,80,FALSE)/1000</f>
        <v>82.03813000000001</v>
      </c>
      <c r="DJ58" s="33">
        <f>VLOOKUP("7500080",'[1]Input IS ACCTS'!$A$6:$DH$513,80,FALSE)/1000</f>
        <v>82.03813000000001</v>
      </c>
      <c r="DK58" s="33">
        <f>VLOOKUP("7500080",'[1]Input IS ACCTS'!$A$6:$DH$513,80,FALSE)/1000</f>
        <v>82.03813000000001</v>
      </c>
      <c r="DL58" s="33">
        <f>VLOOKUP("7500080",'[1]Input IS ACCTS'!$A$6:$DH$513,80,FALSE)/1000</f>
        <v>82.03813000000001</v>
      </c>
      <c r="DM58" s="33">
        <f>VLOOKUP("7500080",'[1]Input IS ACCTS'!$A$6:$DH$513,80,FALSE)/1000</f>
        <v>82.03813000000001</v>
      </c>
      <c r="DN58" s="33">
        <f>VLOOKUP("7500080",'[1]Input IS ACCTS'!$A$6:$DH$513,80,FALSE)/1000</f>
        <v>82.03813000000001</v>
      </c>
      <c r="DO58" s="33">
        <f>VLOOKUP("7500080",'[1]Input IS ACCTS'!$A$6:$DH$513,80,FALSE)/1000</f>
        <v>82.03813000000001</v>
      </c>
      <c r="DP58" s="33">
        <f>VLOOKUP("7500080",'[1]Input IS ACCTS'!$A$6:$DH$513,80,FALSE)/1000</f>
        <v>82.03813000000001</v>
      </c>
      <c r="DQ58" s="33">
        <f>VLOOKUP("7500080",'[1]Input IS ACCTS'!$A$6:$DH$513,80,FALSE)/1000</f>
        <v>82.03813000000001</v>
      </c>
      <c r="DR58" s="33">
        <f>VLOOKUP("7500080",'[1]Input IS ACCTS'!$A$6:$DH$513,80,FALSE)/1000</f>
        <v>82.03813000000001</v>
      </c>
      <c r="DS58" s="33">
        <f>VLOOKUP("7500080",'[1]Input IS ACCTS'!$A$6:$DH$513,100,FALSE)/1000</f>
        <v>14.646420000000001</v>
      </c>
      <c r="DT58" s="33">
        <f>VLOOKUP("7500080",'[1]Input IS ACCTS'!$A$6:$DH$513,101,FALSE)/1000</f>
        <v>14.649100000000001</v>
      </c>
      <c r="DU58" s="33">
        <f>VLOOKUP("7500080",'[1]Input IS ACCTS'!$A$6:$DH$513,102,FALSE)/1000</f>
        <v>14.647650000000001</v>
      </c>
      <c r="DV58" s="33">
        <f>VLOOKUP("7500080",'[1]Input IS ACCTS'!$A$6:$DH$513,103,FALSE)/1000</f>
        <v>14.81935</v>
      </c>
      <c r="DW58" s="33">
        <f>VLOOKUP("7500080",'[1]Input IS ACCTS'!$A$6:$DH$513,104,FALSE)/1000</f>
        <v>14.69059</v>
      </c>
      <c r="DX58" s="33">
        <f>VLOOKUP("7500080",'[1]Input IS ACCTS'!$A$6:$DH$513,105,FALSE)/1000</f>
        <v>14.69059</v>
      </c>
      <c r="DY58" s="33">
        <f>VLOOKUP("7500080",'[1]Input IS ACCTS'!$A$6:$DH$513,106,FALSE)/1000</f>
        <v>14.69059</v>
      </c>
      <c r="DZ58" s="33">
        <f>VLOOKUP("7500080",'[1]Input IS ACCTS'!$A$6:$DH$513,107,FALSE)/1000</f>
        <v>14.69059</v>
      </c>
      <c r="EA58" s="33">
        <f>VLOOKUP("7500080",'[1]Input IS ACCTS'!$A$6:$DH$513,108,FALSE)/1000</f>
        <v>14.69059</v>
      </c>
      <c r="EB58" s="33">
        <f>VLOOKUP("7500080",'[1]Input IS ACCTS'!$A$6:$DH$513,109,FALSE)/1000</f>
        <v>14.69059</v>
      </c>
      <c r="EC58" s="33">
        <f>VLOOKUP("7500080",'[1]Input IS ACCTS'!$A$6:$DH$513,110,FALSE)/1000</f>
        <v>14.69059</v>
      </c>
      <c r="ED58" s="33">
        <f>VLOOKUP("7500080",'[1]Input IS ACCTS'!$A$6:$DH$513,111,FALSE)/1000</f>
        <v>14.69059</v>
      </c>
    </row>
    <row r="59" spans="1:134">
      <c r="A59" s="16" t="s">
        <v>52</v>
      </c>
      <c r="B59" s="2" t="s">
        <v>53</v>
      </c>
      <c r="Z59" s="17"/>
      <c r="BW59" s="33">
        <f>VLOOKUP("7500090",'[1]Input IS ACCTS'!$A$6:$DH$513,52,FALSE)/1000</f>
        <v>0</v>
      </c>
      <c r="BX59" s="33">
        <f>VLOOKUP("7500090",'[1]Input IS ACCTS'!$A$6:$DH$513,53,FALSE)/1000</f>
        <v>0</v>
      </c>
      <c r="BY59" s="33">
        <f>VLOOKUP("7500090",'[1]Input IS ACCTS'!$A$6:$DH$513,54,FALSE)/1000</f>
        <v>307.48136</v>
      </c>
      <c r="BZ59" s="33">
        <f>VLOOKUP("7500090",'[1]Input IS ACCTS'!$A$6:$DH$513,55,FALSE)/1000</f>
        <v>102.7972</v>
      </c>
      <c r="CA59" s="33">
        <f>VLOOKUP("7500090",'[1]Input IS ACCTS'!$A$6:$DH$513,56,FALSE)/1000</f>
        <v>74.870729999999995</v>
      </c>
      <c r="CB59" s="33">
        <f>VLOOKUP("7500090",'[1]Input IS ACCTS'!$A$6:$DH$513,57,FALSE)/1000</f>
        <v>72.428309999999996</v>
      </c>
      <c r="CC59" s="33">
        <f>VLOOKUP("7500090",'[1]Input IS ACCTS'!$A$6:$DH$513,58,FALSE)/1000</f>
        <v>64.912760000000006</v>
      </c>
      <c r="CD59" s="33">
        <f>VLOOKUP("7500090",'[1]Input IS ACCTS'!$A$6:$DH$513,59,FALSE)/1000</f>
        <v>76.242159999999998</v>
      </c>
      <c r="CE59" s="33">
        <f>VLOOKUP("7500090",'[1]Input IS ACCTS'!$A$6:$DH$513,60,FALSE)/1000</f>
        <v>84.145929999999993</v>
      </c>
      <c r="CF59" s="33">
        <f>VLOOKUP("7500090",'[1]Input IS ACCTS'!$A$6:$DH$513,61,FALSE)/1000</f>
        <v>22.61787</v>
      </c>
      <c r="CG59" s="33">
        <f>VLOOKUP("7500090",'[1]Input IS ACCTS'!$A$6:$DH$513,62,FALSE)/1000</f>
        <v>0</v>
      </c>
      <c r="CH59" s="33">
        <f>VLOOKUP("7500090",'[1]Input IS ACCTS'!$A$6:$DH$513,63,FALSE)/1000</f>
        <v>0</v>
      </c>
      <c r="CI59" s="33">
        <f>VLOOKUP("7500090",'[1]Input IS ACCTS'!$A$6:$DH$513,64,FALSE)/1000</f>
        <v>0</v>
      </c>
      <c r="CJ59" s="33">
        <f>VLOOKUP("7500090",'[1]Input IS ACCTS'!$A$6:$DH$513,65,FALSE)/1000</f>
        <v>0</v>
      </c>
      <c r="CK59" s="33">
        <f>VLOOKUP("7500090",'[1]Input IS ACCTS'!$A$6:$DH$513,66,FALSE)/1000</f>
        <v>0</v>
      </c>
      <c r="CL59" s="33">
        <f>VLOOKUP("7500090",'[1]Input IS ACCTS'!$A$6:$DH$513,67,FALSE)/1000</f>
        <v>0</v>
      </c>
      <c r="CM59" s="33">
        <f>VLOOKUP("7500090",'[1]Input IS ACCTS'!$A$6:$DH$513,68,FALSE)/1000</f>
        <v>0</v>
      </c>
      <c r="CN59" s="33">
        <f>VLOOKUP("7500090",'[1]Input IS ACCTS'!$A$6:$DH$513,69,FALSE)/1000</f>
        <v>0</v>
      </c>
      <c r="CO59" s="33">
        <f>VLOOKUP("7500090",'[1]Input IS ACCTS'!$A$6:$DH$513,70,FALSE)/1000</f>
        <v>0</v>
      </c>
      <c r="CP59" s="33">
        <f>VLOOKUP("7500090",'[1]Input IS ACCTS'!$A$6:$DH$513,71,FALSE)/1000</f>
        <v>0</v>
      </c>
      <c r="CQ59" s="33">
        <f>VLOOKUP("7500090",'[1]Input IS ACCTS'!$A$6:$DH$513,72,FALSE)/1000</f>
        <v>0</v>
      </c>
      <c r="CR59" s="33">
        <f>VLOOKUP("7500090",'[1]Input IS ACCTS'!$A$6:$DH$513,73,FALSE)/1000</f>
        <v>0</v>
      </c>
      <c r="CS59" s="33">
        <f>VLOOKUP("7500090",'[1]Input IS ACCTS'!$A$6:$DH$513,74,FALSE)/1000</f>
        <v>0</v>
      </c>
      <c r="CT59" s="33">
        <f>VLOOKUP("7500090",'[1]Input IS ACCTS'!$A$6:$DH$513,75,FALSE)/1000</f>
        <v>0</v>
      </c>
      <c r="CU59" s="33">
        <f>VLOOKUP("7500090",'[1]Input IS ACCTS'!$A$6:$DH$513,76,FALSE)/1000</f>
        <v>0</v>
      </c>
      <c r="CV59" s="33">
        <f>VLOOKUP("7500090",'[1]Input IS ACCTS'!$A$6:$DH$513,77,FALSE)/1000</f>
        <v>1.0289999999999999</v>
      </c>
      <c r="CW59" s="33">
        <f>VLOOKUP("7500090",'[1]Input IS ACCTS'!$A$6:$DH$513,78,FALSE)/1000</f>
        <v>1.90517</v>
      </c>
      <c r="CX59" s="33">
        <f>VLOOKUP("7500090",'[1]Input IS ACCTS'!$A$6:$DH$513,79,FALSE)/1000</f>
        <v>1.46706</v>
      </c>
      <c r="CY59" s="33">
        <f>VLOOKUP("7500090",'[1]Input IS ACCTS'!$A$6:$DH$513,80,FALSE)/1000</f>
        <v>1.46706</v>
      </c>
      <c r="CZ59" s="33">
        <f>VLOOKUP("7500090",'[1]Input IS ACCTS'!$A$6:$DH$513,80,FALSE)/1000</f>
        <v>1.46706</v>
      </c>
      <c r="DA59" s="33">
        <f>VLOOKUP("7500090",'[1]Input IS ACCTS'!$A$6:$DH$513,80,FALSE)/1000</f>
        <v>1.46706</v>
      </c>
      <c r="DB59" s="33">
        <f>VLOOKUP("7500090",'[1]Input IS ACCTS'!$A$6:$DH$513,80,FALSE)/1000</f>
        <v>1.46706</v>
      </c>
      <c r="DC59" s="33">
        <f>VLOOKUP("7500090",'[1]Input IS ACCTS'!$A$6:$DH$513,80,FALSE)/1000</f>
        <v>1.46706</v>
      </c>
      <c r="DD59" s="33">
        <f>VLOOKUP("7500090",'[1]Input IS ACCTS'!$A$6:$DH$513,80,FALSE)/1000</f>
        <v>1.46706</v>
      </c>
      <c r="DE59" s="33">
        <f>VLOOKUP("7500090",'[1]Input IS ACCTS'!$A$6:$DH$513,80,FALSE)/1000</f>
        <v>1.46706</v>
      </c>
      <c r="DF59" s="33">
        <f>VLOOKUP("7500090",'[1]Input IS ACCTS'!$A$6:$DH$513,80,FALSE)/1000</f>
        <v>1.46706</v>
      </c>
      <c r="DG59" s="33">
        <f>VLOOKUP("7500090",'[1]Input IS ACCTS'!$A$6:$DH$513,80,FALSE)/1000</f>
        <v>1.46706</v>
      </c>
      <c r="DH59" s="33">
        <f>VLOOKUP("7500090",'[1]Input IS ACCTS'!$A$6:$DH$513,80,FALSE)/1000</f>
        <v>1.46706</v>
      </c>
      <c r="DI59" s="33">
        <f>VLOOKUP("7500090",'[1]Input IS ACCTS'!$A$6:$DH$513,80,FALSE)/1000</f>
        <v>1.46706</v>
      </c>
      <c r="DJ59" s="33">
        <f>VLOOKUP("7500090",'[1]Input IS ACCTS'!$A$6:$DH$513,80,FALSE)/1000</f>
        <v>1.46706</v>
      </c>
      <c r="DK59" s="33">
        <f>VLOOKUP("7500090",'[1]Input IS ACCTS'!$A$6:$DH$513,80,FALSE)/1000</f>
        <v>1.46706</v>
      </c>
      <c r="DL59" s="33">
        <f>VLOOKUP("7500090",'[1]Input IS ACCTS'!$A$6:$DH$513,80,FALSE)/1000</f>
        <v>1.46706</v>
      </c>
      <c r="DM59" s="33">
        <f>VLOOKUP("7500090",'[1]Input IS ACCTS'!$A$6:$DH$513,80,FALSE)/1000</f>
        <v>1.46706</v>
      </c>
      <c r="DN59" s="33">
        <f>VLOOKUP("7500090",'[1]Input IS ACCTS'!$A$6:$DH$513,80,FALSE)/1000</f>
        <v>1.46706</v>
      </c>
      <c r="DO59" s="33">
        <f>VLOOKUP("7500090",'[1]Input IS ACCTS'!$A$6:$DH$513,80,FALSE)/1000</f>
        <v>1.46706</v>
      </c>
      <c r="DP59" s="33">
        <f>VLOOKUP("7500090",'[1]Input IS ACCTS'!$A$6:$DH$513,80,FALSE)/1000</f>
        <v>1.46706</v>
      </c>
      <c r="DQ59" s="33">
        <f>VLOOKUP("7500090",'[1]Input IS ACCTS'!$A$6:$DH$513,80,FALSE)/1000</f>
        <v>1.46706</v>
      </c>
      <c r="DR59" s="33">
        <f>VLOOKUP("7500090",'[1]Input IS ACCTS'!$A$6:$DH$513,80,FALSE)/1000</f>
        <v>1.46706</v>
      </c>
      <c r="DS59" s="33">
        <f>VLOOKUP("7500090",'[1]Input IS ACCTS'!$A$6:$DH$513,100,FALSE)/1000</f>
        <v>100.56919000000001</v>
      </c>
      <c r="DT59" s="33">
        <f>VLOOKUP("7500090",'[1]Input IS ACCTS'!$A$6:$DH$513,101,FALSE)/1000</f>
        <v>78.520929999999993</v>
      </c>
      <c r="DU59" s="33">
        <f>VLOOKUP("7500090",'[1]Input IS ACCTS'!$A$6:$DH$513,102,FALSE)/1000</f>
        <v>123.58472</v>
      </c>
      <c r="DV59" s="33">
        <f>VLOOKUP("7500090",'[1]Input IS ACCTS'!$A$6:$DH$513,103,FALSE)/1000</f>
        <v>165.18573999999998</v>
      </c>
      <c r="DW59" s="33">
        <f>VLOOKUP("7500090",'[1]Input IS ACCTS'!$A$6:$DH$513,104,FALSE)/1000</f>
        <v>233.90499</v>
      </c>
      <c r="DX59" s="33">
        <f>VLOOKUP("7500090",'[1]Input IS ACCTS'!$A$6:$DH$513,105,FALSE)/1000</f>
        <v>259.72435999999999</v>
      </c>
      <c r="DY59" s="33">
        <f>VLOOKUP("7500090",'[1]Input IS ACCTS'!$A$6:$DH$513,106,FALSE)/1000</f>
        <v>317.01484999999997</v>
      </c>
      <c r="DZ59" s="33">
        <f>VLOOKUP("7500090",'[1]Input IS ACCTS'!$A$6:$DH$513,107,FALSE)/1000</f>
        <v>247.33528000000001</v>
      </c>
      <c r="EA59" s="33">
        <f>VLOOKUP("7500090",'[1]Input IS ACCTS'!$A$6:$DH$513,108,FALSE)/1000</f>
        <v>357.59499</v>
      </c>
      <c r="EB59" s="33">
        <f>VLOOKUP("7500090",'[1]Input IS ACCTS'!$A$6:$DH$513,109,FALSE)/1000</f>
        <v>503.50146999999998</v>
      </c>
      <c r="EC59" s="33">
        <f>VLOOKUP("7500090",'[1]Input IS ACCTS'!$A$6:$DH$513,110,FALSE)/1000</f>
        <v>596.76227000000006</v>
      </c>
      <c r="ED59" s="33">
        <f>VLOOKUP("7500090",'[1]Input IS ACCTS'!$A$6:$DH$513,111,FALSE)/1000</f>
        <v>747.29468999999995</v>
      </c>
    </row>
    <row r="60" spans="1:134">
      <c r="A60" s="16" t="s">
        <v>54</v>
      </c>
      <c r="B60" s="2" t="s">
        <v>55</v>
      </c>
      <c r="Z60" s="17"/>
      <c r="BW60" s="33">
        <f>VLOOKUP("7500700",'[1]Input IS ACCTS'!$A$6:$DH$513,52,FALSE)/1000</f>
        <v>0</v>
      </c>
      <c r="BX60" s="33">
        <f>VLOOKUP("7500700",'[1]Input IS ACCTS'!$A$6:$DH$513,53,FALSE)/1000</f>
        <v>0</v>
      </c>
      <c r="BY60" s="33">
        <f>VLOOKUP("7500700",'[1]Input IS ACCTS'!$A$6:$DH$513,54,FALSE)/1000</f>
        <v>0</v>
      </c>
      <c r="BZ60" s="33">
        <f>VLOOKUP("7500700",'[1]Input IS ACCTS'!$A$6:$DH$513,55,FALSE)/1000</f>
        <v>0</v>
      </c>
      <c r="CA60" s="33">
        <f>VLOOKUP("7500700",'[1]Input IS ACCTS'!$A$6:$DH$513,56,FALSE)/1000</f>
        <v>0</v>
      </c>
      <c r="CB60" s="33">
        <f>VLOOKUP("7500700",'[1]Input IS ACCTS'!$A$6:$DH$513,57,FALSE)/1000</f>
        <v>0</v>
      </c>
      <c r="CC60" s="33">
        <f>VLOOKUP("7500700",'[1]Input IS ACCTS'!$A$6:$DH$513,58,FALSE)/1000</f>
        <v>0</v>
      </c>
      <c r="CD60" s="33">
        <f>VLOOKUP("7500700",'[1]Input IS ACCTS'!$A$6:$DH$513,59,FALSE)/1000</f>
        <v>0</v>
      </c>
      <c r="CE60" s="33">
        <f>VLOOKUP("7500700",'[1]Input IS ACCTS'!$A$6:$DH$513,60,FALSE)/1000</f>
        <v>0</v>
      </c>
      <c r="CF60" s="33">
        <f>VLOOKUP("7500700",'[1]Input IS ACCTS'!$A$6:$DH$513,61,FALSE)/1000</f>
        <v>10.930389999999999</v>
      </c>
      <c r="CG60" s="33">
        <f>VLOOKUP("7500700",'[1]Input IS ACCTS'!$A$6:$DH$513,62,FALSE)/1000</f>
        <v>9.7133400000000005</v>
      </c>
      <c r="CH60" s="33">
        <f>VLOOKUP("7500700",'[1]Input IS ACCTS'!$A$6:$DH$513,63,FALSE)/1000</f>
        <v>0</v>
      </c>
      <c r="CI60" s="33">
        <f>VLOOKUP("7500700",'[1]Input IS ACCTS'!$A$6:$DH$513,64,FALSE)/1000</f>
        <v>0</v>
      </c>
      <c r="CJ60" s="33">
        <f>VLOOKUP("7500700",'[1]Input IS ACCTS'!$A$6:$DH$513,65,FALSE)/1000</f>
        <v>0</v>
      </c>
      <c r="CK60" s="33">
        <f>VLOOKUP("7500700",'[1]Input IS ACCTS'!$A$6:$DH$513,66,FALSE)/1000</f>
        <v>0</v>
      </c>
      <c r="CL60" s="33">
        <f>VLOOKUP("7500700",'[1]Input IS ACCTS'!$A$6:$DH$513,67,FALSE)/1000</f>
        <v>0</v>
      </c>
      <c r="CM60" s="33">
        <f>VLOOKUP("7500700",'[1]Input IS ACCTS'!$A$6:$DH$513,68,FALSE)/1000</f>
        <v>0</v>
      </c>
      <c r="CN60" s="33">
        <f>VLOOKUP("7500700",'[1]Input IS ACCTS'!$A$6:$DH$513,69,FALSE)/1000</f>
        <v>0</v>
      </c>
      <c r="CO60" s="33">
        <f>VLOOKUP("7500700",'[1]Input IS ACCTS'!$A$6:$DH$513,70,FALSE)/1000</f>
        <v>0</v>
      </c>
      <c r="CP60" s="33">
        <f>VLOOKUP("7500700",'[1]Input IS ACCTS'!$A$6:$DH$513,71,FALSE)/1000</f>
        <v>0</v>
      </c>
      <c r="CQ60" s="33">
        <f>VLOOKUP("7500700",'[1]Input IS ACCTS'!$A$6:$DH$513,72,FALSE)/1000</f>
        <v>0</v>
      </c>
      <c r="CR60" s="33">
        <f>VLOOKUP("7500700",'[1]Input IS ACCTS'!$A$6:$DH$513,73,FALSE)/1000</f>
        <v>0</v>
      </c>
      <c r="CS60" s="33">
        <f>VLOOKUP("7500700",'[1]Input IS ACCTS'!$A$6:$DH$513,74,FALSE)/1000</f>
        <v>0</v>
      </c>
      <c r="CT60" s="33">
        <f>VLOOKUP("7500700",'[1]Input IS ACCTS'!$A$6:$DH$513,75,FALSE)/1000</f>
        <v>0</v>
      </c>
      <c r="CU60" s="33">
        <f>VLOOKUP("7500700",'[1]Input IS ACCTS'!$A$6:$DH$513,76,FALSE)/1000</f>
        <v>0</v>
      </c>
      <c r="CV60" s="33">
        <f>VLOOKUP("7500700",'[1]Input IS ACCTS'!$A$6:$DH$513,77,FALSE)/1000</f>
        <v>0</v>
      </c>
      <c r="CW60" s="33">
        <f>VLOOKUP("7500700",'[1]Input IS ACCTS'!$A$6:$DH$513,78,FALSE)/1000</f>
        <v>0.21940000000000001</v>
      </c>
      <c r="CX60" s="33">
        <f>VLOOKUP("7500700",'[1]Input IS ACCTS'!$A$6:$DH$513,79,FALSE)/1000</f>
        <v>0</v>
      </c>
      <c r="CY60" s="33">
        <f>VLOOKUP("7500700",'[1]Input IS ACCTS'!$A$6:$DH$513,80,FALSE)/1000</f>
        <v>0</v>
      </c>
      <c r="CZ60" s="33">
        <f>VLOOKUP("7500700",'[1]Input IS ACCTS'!$A$6:$DH$513,80,FALSE)/1000</f>
        <v>0</v>
      </c>
      <c r="DA60" s="33">
        <f>VLOOKUP("7500700",'[1]Input IS ACCTS'!$A$6:$DH$513,80,FALSE)/1000</f>
        <v>0</v>
      </c>
      <c r="DB60" s="33">
        <f>VLOOKUP("7500700",'[1]Input IS ACCTS'!$A$6:$DH$513,80,FALSE)/1000</f>
        <v>0</v>
      </c>
      <c r="DC60" s="33">
        <f>VLOOKUP("7500700",'[1]Input IS ACCTS'!$A$6:$DH$513,80,FALSE)/1000</f>
        <v>0</v>
      </c>
      <c r="DD60" s="33">
        <f>VLOOKUP("7500700",'[1]Input IS ACCTS'!$A$6:$DH$513,80,FALSE)/1000</f>
        <v>0</v>
      </c>
      <c r="DE60" s="33">
        <f>VLOOKUP("7500700",'[1]Input IS ACCTS'!$A$6:$DH$513,80,FALSE)/1000</f>
        <v>0</v>
      </c>
      <c r="DF60" s="33">
        <f>VLOOKUP("7500700",'[1]Input IS ACCTS'!$A$6:$DH$513,80,FALSE)/1000</f>
        <v>0</v>
      </c>
      <c r="DG60" s="33">
        <f>VLOOKUP("7500700",'[1]Input IS ACCTS'!$A$6:$DH$513,80,FALSE)/1000</f>
        <v>0</v>
      </c>
      <c r="DH60" s="33">
        <f>VLOOKUP("7500700",'[1]Input IS ACCTS'!$A$6:$DH$513,80,FALSE)/1000</f>
        <v>0</v>
      </c>
      <c r="DI60" s="33">
        <f>VLOOKUP("7500700",'[1]Input IS ACCTS'!$A$6:$DH$513,80,FALSE)/1000</f>
        <v>0</v>
      </c>
      <c r="DJ60" s="33">
        <f>VLOOKUP("7500700",'[1]Input IS ACCTS'!$A$6:$DH$513,80,FALSE)/1000</f>
        <v>0</v>
      </c>
      <c r="DK60" s="33">
        <f>VLOOKUP("7500700",'[1]Input IS ACCTS'!$A$6:$DH$513,80,FALSE)/1000</f>
        <v>0</v>
      </c>
      <c r="DL60" s="33">
        <f>VLOOKUP("7500700",'[1]Input IS ACCTS'!$A$6:$DH$513,80,FALSE)/1000</f>
        <v>0</v>
      </c>
      <c r="DM60" s="33">
        <f>VLOOKUP("7500700",'[1]Input IS ACCTS'!$A$6:$DH$513,80,FALSE)/1000</f>
        <v>0</v>
      </c>
      <c r="DN60" s="33">
        <f>VLOOKUP("7500700",'[1]Input IS ACCTS'!$A$6:$DH$513,80,FALSE)/1000</f>
        <v>0</v>
      </c>
      <c r="DO60" s="33">
        <f>VLOOKUP("7500700",'[1]Input IS ACCTS'!$A$6:$DH$513,80,FALSE)/1000</f>
        <v>0</v>
      </c>
      <c r="DP60" s="33">
        <f>VLOOKUP("7500700",'[1]Input IS ACCTS'!$A$6:$DH$513,80,FALSE)/1000</f>
        <v>0</v>
      </c>
      <c r="DQ60" s="33">
        <f>VLOOKUP("7500700",'[1]Input IS ACCTS'!$A$6:$DH$513,80,FALSE)/1000</f>
        <v>0</v>
      </c>
      <c r="DR60" s="33">
        <f>VLOOKUP("7500700",'[1]Input IS ACCTS'!$A$6:$DH$513,80,FALSE)/1000</f>
        <v>0</v>
      </c>
      <c r="DS60" s="33">
        <f>VLOOKUP("7500700",'[1]Input IS ACCTS'!$A$6:$DH$513,100,FALSE)/1000</f>
        <v>0</v>
      </c>
      <c r="DT60" s="33">
        <f>VLOOKUP("7500700",'[1]Input IS ACCTS'!$A$6:$DH$513,101,FALSE)/1000</f>
        <v>0</v>
      </c>
      <c r="DU60" s="33">
        <f>VLOOKUP("7500700",'[1]Input IS ACCTS'!$A$6:$DH$513,102,FALSE)/1000</f>
        <v>0</v>
      </c>
      <c r="DV60" s="33">
        <f>VLOOKUP("7500700",'[1]Input IS ACCTS'!$A$6:$DH$513,103,FALSE)/1000</f>
        <v>0</v>
      </c>
      <c r="DW60" s="33">
        <f>VLOOKUP("7500700",'[1]Input IS ACCTS'!$A$6:$DH$513,104,FALSE)/1000</f>
        <v>0</v>
      </c>
      <c r="DX60" s="33">
        <f>VLOOKUP("7500700",'[1]Input IS ACCTS'!$A$6:$DH$513,105,FALSE)/1000</f>
        <v>0</v>
      </c>
      <c r="DY60" s="33">
        <f>VLOOKUP("7500700",'[1]Input IS ACCTS'!$A$6:$DH$513,106,FALSE)/1000</f>
        <v>17.81062</v>
      </c>
      <c r="DZ60" s="33">
        <f>VLOOKUP("7500700",'[1]Input IS ACCTS'!$A$6:$DH$513,107,FALSE)/1000</f>
        <v>65.441589999999991</v>
      </c>
      <c r="EA60" s="33">
        <f>VLOOKUP("7500700",'[1]Input IS ACCTS'!$A$6:$DH$513,108,FALSE)/1000</f>
        <v>30.8933</v>
      </c>
      <c r="EB60" s="33">
        <f>VLOOKUP("7500700",'[1]Input IS ACCTS'!$A$6:$DH$513,109,FALSE)/1000</f>
        <v>0</v>
      </c>
      <c r="EC60" s="33">
        <f>VLOOKUP("7500700",'[1]Input IS ACCTS'!$A$6:$DH$513,110,FALSE)/1000</f>
        <v>0</v>
      </c>
      <c r="ED60" s="33">
        <f>VLOOKUP("7500700",'[1]Input IS ACCTS'!$A$6:$DH$513,111,FALSE)/1000</f>
        <v>0</v>
      </c>
    </row>
    <row r="61" spans="1:134">
      <c r="A61" s="16"/>
      <c r="B61" s="2" t="s">
        <v>56</v>
      </c>
      <c r="Z61" s="17"/>
      <c r="BW61" s="49">
        <f>+-7216.75/1000</f>
        <v>-7.2167500000000002</v>
      </c>
      <c r="BX61" s="49">
        <f t="shared" ref="BX61:CH61" si="33">+-7216.75/1000</f>
        <v>-7.2167500000000002</v>
      </c>
      <c r="BY61" s="49">
        <f t="shared" si="33"/>
        <v>-7.2167500000000002</v>
      </c>
      <c r="BZ61" s="49">
        <f t="shared" si="33"/>
        <v>-7.2167500000000002</v>
      </c>
      <c r="CA61" s="49">
        <f t="shared" si="33"/>
        <v>-7.2167500000000002</v>
      </c>
      <c r="CB61" s="49">
        <f t="shared" si="33"/>
        <v>-7.2167500000000002</v>
      </c>
      <c r="CC61" s="49">
        <f t="shared" si="33"/>
        <v>-7.2167500000000002</v>
      </c>
      <c r="CD61" s="49">
        <f t="shared" si="33"/>
        <v>-7.2167500000000002</v>
      </c>
      <c r="CE61" s="49">
        <f t="shared" si="33"/>
        <v>-7.2167500000000002</v>
      </c>
      <c r="CF61" s="49">
        <f t="shared" si="33"/>
        <v>-7.2167500000000002</v>
      </c>
      <c r="CG61" s="49">
        <f t="shared" si="33"/>
        <v>-7.2167500000000002</v>
      </c>
      <c r="CH61" s="49">
        <f t="shared" si="33"/>
        <v>-7.2167500000000002</v>
      </c>
      <c r="CI61" s="49">
        <f>+-7229.6/1000</f>
        <v>-7.2296000000000005</v>
      </c>
      <c r="CJ61" s="49">
        <f t="shared" ref="CJ61:ED61" si="34">+-7229.6/1000</f>
        <v>-7.2296000000000005</v>
      </c>
      <c r="CK61" s="49">
        <f t="shared" si="34"/>
        <v>-7.2296000000000005</v>
      </c>
      <c r="CL61" s="49">
        <f t="shared" si="34"/>
        <v>-7.2296000000000005</v>
      </c>
      <c r="CM61" s="49">
        <f t="shared" si="34"/>
        <v>-7.2296000000000005</v>
      </c>
      <c r="CN61" s="49">
        <f t="shared" si="34"/>
        <v>-7.2296000000000005</v>
      </c>
      <c r="CO61" s="49">
        <f t="shared" si="34"/>
        <v>-7.2296000000000005</v>
      </c>
      <c r="CP61" s="49">
        <f t="shared" si="34"/>
        <v>-7.2296000000000005</v>
      </c>
      <c r="CQ61" s="49">
        <f t="shared" si="34"/>
        <v>-7.2296000000000005</v>
      </c>
      <c r="CR61" s="49">
        <f t="shared" si="34"/>
        <v>-7.2296000000000005</v>
      </c>
      <c r="CS61" s="49">
        <f t="shared" si="34"/>
        <v>-7.2296000000000005</v>
      </c>
      <c r="CT61" s="49">
        <f t="shared" si="34"/>
        <v>-7.2296000000000005</v>
      </c>
      <c r="CU61" s="50">
        <f t="shared" si="34"/>
        <v>-7.2296000000000005</v>
      </c>
      <c r="CV61" s="50">
        <f t="shared" si="34"/>
        <v>-7.2296000000000005</v>
      </c>
      <c r="CW61" s="50">
        <f t="shared" si="34"/>
        <v>-7.2296000000000005</v>
      </c>
      <c r="CX61" s="50">
        <f t="shared" si="34"/>
        <v>-7.2296000000000005</v>
      </c>
      <c r="CY61" s="50">
        <f t="shared" si="34"/>
        <v>-7.2296000000000005</v>
      </c>
      <c r="CZ61" s="50">
        <f t="shared" si="34"/>
        <v>-7.2296000000000005</v>
      </c>
      <c r="DA61" s="50">
        <f t="shared" si="34"/>
        <v>-7.2296000000000005</v>
      </c>
      <c r="DB61" s="50">
        <f t="shared" si="34"/>
        <v>-7.2296000000000005</v>
      </c>
      <c r="DC61" s="50">
        <f t="shared" si="34"/>
        <v>-7.2296000000000005</v>
      </c>
      <c r="DD61" s="50">
        <f t="shared" si="34"/>
        <v>-7.2296000000000005</v>
      </c>
      <c r="DE61" s="50">
        <f t="shared" si="34"/>
        <v>-7.2296000000000005</v>
      </c>
      <c r="DF61" s="50">
        <f t="shared" si="34"/>
        <v>-7.2296000000000005</v>
      </c>
      <c r="DG61" s="50">
        <f t="shared" si="34"/>
        <v>-7.2296000000000005</v>
      </c>
      <c r="DH61" s="50">
        <f t="shared" si="34"/>
        <v>-7.2296000000000005</v>
      </c>
      <c r="DI61" s="50">
        <f t="shared" si="34"/>
        <v>-7.2296000000000005</v>
      </c>
      <c r="DJ61" s="50">
        <f t="shared" si="34"/>
        <v>-7.2296000000000005</v>
      </c>
      <c r="DK61" s="50">
        <f t="shared" si="34"/>
        <v>-7.2296000000000005</v>
      </c>
      <c r="DL61" s="50">
        <f t="shared" si="34"/>
        <v>-7.2296000000000005</v>
      </c>
      <c r="DM61" s="50">
        <f t="shared" si="34"/>
        <v>-7.2296000000000005</v>
      </c>
      <c r="DN61" s="50">
        <f t="shared" si="34"/>
        <v>-7.2296000000000005</v>
      </c>
      <c r="DO61" s="50">
        <f t="shared" si="34"/>
        <v>-7.2296000000000005</v>
      </c>
      <c r="DP61" s="50">
        <f t="shared" si="34"/>
        <v>-7.2296000000000005</v>
      </c>
      <c r="DQ61" s="50">
        <f t="shared" si="34"/>
        <v>-7.2296000000000005</v>
      </c>
      <c r="DR61" s="50">
        <f t="shared" si="34"/>
        <v>-7.2296000000000005</v>
      </c>
      <c r="DS61" s="50">
        <f t="shared" si="34"/>
        <v>-7.2296000000000005</v>
      </c>
      <c r="DT61" s="50">
        <f t="shared" si="34"/>
        <v>-7.2296000000000005</v>
      </c>
      <c r="DU61" s="50">
        <f t="shared" si="34"/>
        <v>-7.2296000000000005</v>
      </c>
      <c r="DV61" s="50">
        <f t="shared" si="34"/>
        <v>-7.2296000000000005</v>
      </c>
      <c r="DW61" s="50">
        <f t="shared" si="34"/>
        <v>-7.2296000000000005</v>
      </c>
      <c r="DX61" s="50">
        <f t="shared" si="34"/>
        <v>-7.2296000000000005</v>
      </c>
      <c r="DY61" s="50">
        <f t="shared" si="34"/>
        <v>-7.2296000000000005</v>
      </c>
      <c r="DZ61" s="50">
        <f t="shared" si="34"/>
        <v>-7.2296000000000005</v>
      </c>
      <c r="EA61" s="50">
        <f t="shared" si="34"/>
        <v>-7.2296000000000005</v>
      </c>
      <c r="EB61" s="50">
        <f t="shared" si="34"/>
        <v>-7.2296000000000005</v>
      </c>
      <c r="EC61" s="50">
        <f t="shared" si="34"/>
        <v>-7.2296000000000005</v>
      </c>
      <c r="ED61" s="50">
        <f t="shared" si="34"/>
        <v>-7.2296000000000005</v>
      </c>
    </row>
    <row r="62" spans="1:134">
      <c r="B62" s="24" t="s">
        <v>57</v>
      </c>
      <c r="Z62" s="17"/>
      <c r="BW62" s="29">
        <f t="shared" ref="BW62:CH62" si="35">SUM(BW57:BW61)</f>
        <v>-3.8600000000000634E-2</v>
      </c>
      <c r="BX62" s="29">
        <f t="shared" si="35"/>
        <v>189.73105000000001</v>
      </c>
      <c r="BY62" s="29">
        <f t="shared" si="35"/>
        <v>119.40123000000001</v>
      </c>
      <c r="BZ62" s="29">
        <f t="shared" si="35"/>
        <v>103.30620999999999</v>
      </c>
      <c r="CA62" s="29">
        <f t="shared" si="35"/>
        <v>135.11968000000002</v>
      </c>
      <c r="CB62" s="29">
        <f t="shared" si="35"/>
        <v>149.93669</v>
      </c>
      <c r="CC62" s="29">
        <f t="shared" si="35"/>
        <v>75.644080000000002</v>
      </c>
      <c r="CD62" s="29">
        <f t="shared" si="35"/>
        <v>80.915009999999995</v>
      </c>
      <c r="CE62" s="29">
        <f t="shared" si="35"/>
        <v>94.039099999999991</v>
      </c>
      <c r="CF62" s="29">
        <f t="shared" si="35"/>
        <v>39.384660000000004</v>
      </c>
      <c r="CG62" s="29">
        <f t="shared" si="35"/>
        <v>49.270789999999998</v>
      </c>
      <c r="CH62" s="29">
        <f t="shared" si="35"/>
        <v>146.66738000000001</v>
      </c>
      <c r="CI62" s="29">
        <f>SUM(CI57:CI61)</f>
        <v>214.96999</v>
      </c>
      <c r="CJ62" s="29">
        <f t="shared" ref="CJ62:ED62" si="36">SUM(CJ57:CJ61)</f>
        <v>197.87736999999998</v>
      </c>
      <c r="CK62" s="29">
        <f t="shared" si="36"/>
        <v>175.50369000000001</v>
      </c>
      <c r="CL62" s="29">
        <f t="shared" si="36"/>
        <v>161.74599999999998</v>
      </c>
      <c r="CM62" s="29">
        <f t="shared" si="36"/>
        <v>101.71897999999999</v>
      </c>
      <c r="CN62" s="29">
        <f t="shared" si="36"/>
        <v>-121.12727000000001</v>
      </c>
      <c r="CO62" s="29">
        <f t="shared" si="36"/>
        <v>108.40789999999998</v>
      </c>
      <c r="CP62" s="29">
        <f t="shared" si="36"/>
        <v>95.194639999999978</v>
      </c>
      <c r="CQ62" s="29">
        <f>SUM(CQ57:CQ61)</f>
        <v>104.62499</v>
      </c>
      <c r="CR62" s="29">
        <f t="shared" si="36"/>
        <v>115.83532</v>
      </c>
      <c r="CS62" s="29">
        <f t="shared" si="36"/>
        <v>123.04775999999998</v>
      </c>
      <c r="CT62" s="29">
        <f t="shared" si="36"/>
        <v>179.92416</v>
      </c>
      <c r="CU62" s="29">
        <f t="shared" si="36"/>
        <v>202.98595</v>
      </c>
      <c r="CV62" s="29">
        <f t="shared" si="36"/>
        <v>82.914369999999991</v>
      </c>
      <c r="CW62" s="29">
        <f t="shared" si="36"/>
        <v>230.59936999999999</v>
      </c>
      <c r="CX62" s="29">
        <f t="shared" si="36"/>
        <v>87.892489999999995</v>
      </c>
      <c r="CY62" s="29">
        <f t="shared" si="36"/>
        <v>86.851250000000007</v>
      </c>
      <c r="CZ62" s="29">
        <f t="shared" si="36"/>
        <v>86.851250000000007</v>
      </c>
      <c r="DA62" s="29">
        <f t="shared" si="36"/>
        <v>86.851250000000007</v>
      </c>
      <c r="DB62" s="29">
        <f t="shared" si="36"/>
        <v>86.851250000000007</v>
      </c>
      <c r="DC62" s="29">
        <f t="shared" si="36"/>
        <v>86.851250000000007</v>
      </c>
      <c r="DD62" s="29">
        <f t="shared" si="36"/>
        <v>86.851250000000007</v>
      </c>
      <c r="DE62" s="29">
        <f t="shared" si="36"/>
        <v>86.851250000000007</v>
      </c>
      <c r="DF62" s="29">
        <f t="shared" si="36"/>
        <v>86.851250000000007</v>
      </c>
      <c r="DG62" s="29">
        <f t="shared" si="36"/>
        <v>86.851250000000007</v>
      </c>
      <c r="DH62" s="29">
        <f t="shared" si="36"/>
        <v>86.851250000000007</v>
      </c>
      <c r="DI62" s="29">
        <f t="shared" si="36"/>
        <v>86.851250000000007</v>
      </c>
      <c r="DJ62" s="29">
        <f t="shared" si="36"/>
        <v>86.851250000000007</v>
      </c>
      <c r="DK62" s="29">
        <f t="shared" si="36"/>
        <v>86.851250000000007</v>
      </c>
      <c r="DL62" s="29">
        <f t="shared" si="36"/>
        <v>86.851250000000007</v>
      </c>
      <c r="DM62" s="29">
        <f t="shared" si="36"/>
        <v>86.851250000000007</v>
      </c>
      <c r="DN62" s="29">
        <f t="shared" si="36"/>
        <v>86.851250000000007</v>
      </c>
      <c r="DO62" s="29">
        <f t="shared" si="36"/>
        <v>86.851250000000007</v>
      </c>
      <c r="DP62" s="29">
        <f t="shared" si="36"/>
        <v>86.851250000000007</v>
      </c>
      <c r="DQ62" s="29">
        <f t="shared" si="36"/>
        <v>86.851250000000007</v>
      </c>
      <c r="DR62" s="29">
        <f t="shared" si="36"/>
        <v>86.851250000000007</v>
      </c>
      <c r="DS62" s="29">
        <f t="shared" si="36"/>
        <v>107.98601000000001</v>
      </c>
      <c r="DT62" s="29">
        <f t="shared" si="36"/>
        <v>85.940429999999992</v>
      </c>
      <c r="DU62" s="29">
        <f t="shared" si="36"/>
        <v>131.00277</v>
      </c>
      <c r="DV62" s="29">
        <f t="shared" si="36"/>
        <v>172.77548999999999</v>
      </c>
      <c r="DW62" s="29">
        <f t="shared" si="36"/>
        <v>241.36597999999998</v>
      </c>
      <c r="DX62" s="29">
        <f t="shared" si="36"/>
        <v>267.18534999999997</v>
      </c>
      <c r="DY62" s="29">
        <f t="shared" si="36"/>
        <v>342.28645999999992</v>
      </c>
      <c r="DZ62" s="29">
        <f t="shared" si="36"/>
        <v>320.23785999999996</v>
      </c>
      <c r="EA62" s="29">
        <f t="shared" si="36"/>
        <v>395.94927999999999</v>
      </c>
      <c r="EB62" s="29">
        <f t="shared" si="36"/>
        <v>510.96245999999996</v>
      </c>
      <c r="EC62" s="29">
        <f t="shared" si="36"/>
        <v>604.2232600000001</v>
      </c>
      <c r="ED62" s="29">
        <f t="shared" si="36"/>
        <v>754.75567999999998</v>
      </c>
    </row>
    <row r="63" spans="1:134">
      <c r="B63" s="24"/>
      <c r="Z63" s="17"/>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row>
    <row r="64" spans="1:134">
      <c r="B64" s="17" t="s">
        <v>58</v>
      </c>
      <c r="Z64" s="17"/>
      <c r="BW64" s="29"/>
      <c r="BX64" s="29"/>
      <c r="BY64" s="29"/>
      <c r="BZ64" s="29"/>
      <c r="CA64" s="29"/>
      <c r="CB64" s="29"/>
      <c r="CC64" s="29"/>
      <c r="CD64" s="29"/>
      <c r="CE64" s="29"/>
      <c r="CF64" s="29"/>
      <c r="CG64" s="29"/>
      <c r="CH64" s="29"/>
      <c r="CI64" s="26">
        <f>SUM(BX62:CI62)</f>
        <v>1398.3858700000001</v>
      </c>
      <c r="CJ64" s="26">
        <f>SUM(BY62:CJ62)</f>
        <v>1406.5321900000001</v>
      </c>
      <c r="CK64" s="26">
        <f>SUM(BZ62:CK62)</f>
        <v>1462.63465</v>
      </c>
      <c r="CL64" s="26">
        <f>SUM(CA62:CL62)</f>
        <v>1521.0744399999999</v>
      </c>
      <c r="CM64" s="26">
        <f>SUM(CB62:CM62)</f>
        <v>1487.6737399999997</v>
      </c>
      <c r="CN64" s="26">
        <f t="shared" ref="CN64:ED64" si="37">SUM(CC62:CN62)</f>
        <v>1216.6097800000002</v>
      </c>
      <c r="CO64" s="26">
        <f t="shared" si="37"/>
        <v>1249.3736000000001</v>
      </c>
      <c r="CP64" s="26">
        <f t="shared" si="37"/>
        <v>1263.6532299999999</v>
      </c>
      <c r="CQ64" s="26">
        <f>SUM(CF62:CQ62)</f>
        <v>1274.23912</v>
      </c>
      <c r="CR64" s="26">
        <f>SUM(CG62:CR62)</f>
        <v>1350.6897799999997</v>
      </c>
      <c r="CS64" s="26">
        <f t="shared" si="37"/>
        <v>1424.4667499999998</v>
      </c>
      <c r="CT64" s="26">
        <f t="shared" si="37"/>
        <v>1457.7235299999998</v>
      </c>
      <c r="CU64" s="26">
        <f t="shared" si="37"/>
        <v>1445.7394899999999</v>
      </c>
      <c r="CV64" s="26">
        <f t="shared" si="37"/>
        <v>1330.77649</v>
      </c>
      <c r="CW64" s="26">
        <f t="shared" si="37"/>
        <v>1385.8721699999999</v>
      </c>
      <c r="CX64" s="26">
        <f t="shared" si="37"/>
        <v>1312.0186599999997</v>
      </c>
      <c r="CY64" s="26">
        <f t="shared" si="37"/>
        <v>1297.1509299999998</v>
      </c>
      <c r="CZ64" s="26">
        <f t="shared" si="37"/>
        <v>1505.1294499999997</v>
      </c>
      <c r="DA64" s="26">
        <f t="shared" si="37"/>
        <v>1483.5727999999997</v>
      </c>
      <c r="DB64" s="26">
        <f t="shared" si="37"/>
        <v>1475.2294099999997</v>
      </c>
      <c r="DC64" s="26">
        <f t="shared" si="37"/>
        <v>1457.4556699999996</v>
      </c>
      <c r="DD64" s="26">
        <f t="shared" si="37"/>
        <v>1428.4715999999996</v>
      </c>
      <c r="DE64" s="26">
        <f t="shared" si="37"/>
        <v>1392.2750899999999</v>
      </c>
      <c r="DF64" s="26">
        <f t="shared" si="37"/>
        <v>1299.20218</v>
      </c>
      <c r="DG64" s="26">
        <f t="shared" si="37"/>
        <v>1183.0674800000002</v>
      </c>
      <c r="DH64" s="26">
        <f t="shared" si="37"/>
        <v>1187.0043600000001</v>
      </c>
      <c r="DI64" s="26">
        <f t="shared" si="37"/>
        <v>1043.2562400000002</v>
      </c>
      <c r="DJ64" s="26">
        <f t="shared" si="37"/>
        <v>1042.2150000000004</v>
      </c>
      <c r="DK64" s="26">
        <f t="shared" si="37"/>
        <v>1042.2150000000004</v>
      </c>
      <c r="DL64" s="26">
        <f t="shared" si="37"/>
        <v>1042.2150000000004</v>
      </c>
      <c r="DM64" s="26">
        <f t="shared" si="37"/>
        <v>1042.2150000000004</v>
      </c>
      <c r="DN64" s="26">
        <f t="shared" si="37"/>
        <v>1042.2150000000004</v>
      </c>
      <c r="DO64" s="26">
        <f t="shared" si="37"/>
        <v>1042.2150000000004</v>
      </c>
      <c r="DP64" s="26">
        <f t="shared" si="37"/>
        <v>1042.2150000000004</v>
      </c>
      <c r="DQ64" s="26">
        <f t="shared" si="37"/>
        <v>1042.2150000000004</v>
      </c>
      <c r="DR64" s="26">
        <f t="shared" si="37"/>
        <v>1042.2150000000004</v>
      </c>
      <c r="DS64" s="26">
        <f t="shared" si="37"/>
        <v>1063.3497600000003</v>
      </c>
      <c r="DT64" s="26">
        <f t="shared" si="37"/>
        <v>1062.4389400000002</v>
      </c>
      <c r="DU64" s="26">
        <f t="shared" si="37"/>
        <v>1106.5904600000001</v>
      </c>
      <c r="DV64" s="26">
        <f t="shared" si="37"/>
        <v>1192.5147000000002</v>
      </c>
      <c r="DW64" s="26">
        <f t="shared" si="37"/>
        <v>1347.02943</v>
      </c>
      <c r="DX64" s="26">
        <f t="shared" si="37"/>
        <v>1527.3635300000001</v>
      </c>
      <c r="DY64" s="26">
        <f t="shared" si="37"/>
        <v>1782.7987399999997</v>
      </c>
      <c r="DZ64" s="26">
        <f t="shared" si="37"/>
        <v>2016.18535</v>
      </c>
      <c r="EA64" s="26">
        <f t="shared" si="37"/>
        <v>2325.2833799999999</v>
      </c>
      <c r="EB64" s="26">
        <f t="shared" si="37"/>
        <v>2749.3945899999999</v>
      </c>
      <c r="EC64" s="26">
        <f t="shared" si="37"/>
        <v>3266.7666000000004</v>
      </c>
      <c r="ED64" s="26">
        <f t="shared" si="37"/>
        <v>3934.6710299999995</v>
      </c>
    </row>
    <row r="65" spans="1:134">
      <c r="B65" s="24"/>
      <c r="Z65" s="17"/>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row>
    <row r="66" spans="1:134" ht="15">
      <c r="B66" s="2" t="s">
        <v>59</v>
      </c>
      <c r="Z66" s="17"/>
      <c r="BW66" s="29"/>
      <c r="BX66" s="29"/>
      <c r="BY66" s="29"/>
      <c r="BZ66" s="29"/>
      <c r="CA66" s="29"/>
      <c r="CB66" s="29"/>
      <c r="CC66" s="29"/>
      <c r="CD66" s="29"/>
      <c r="CE66" s="29"/>
      <c r="CF66" s="29"/>
      <c r="CG66" s="29"/>
      <c r="CH66" s="29"/>
      <c r="CI66" s="38">
        <f>ROUND(CI64/CI53,4)</f>
        <v>2.8400000000000002E-2</v>
      </c>
      <c r="CJ66" s="38">
        <f t="shared" ref="CJ66:ED66" si="38">ROUND(CJ64/CJ53,4)</f>
        <v>2.8799999999999999E-2</v>
      </c>
      <c r="CK66" s="38">
        <f t="shared" si="38"/>
        <v>3.0599999999999999E-2</v>
      </c>
      <c r="CL66" s="38">
        <f t="shared" si="38"/>
        <v>3.2099999999999997E-2</v>
      </c>
      <c r="CM66" s="38">
        <f t="shared" si="38"/>
        <v>3.2599999999999997E-2</v>
      </c>
      <c r="CN66" s="38">
        <f t="shared" si="38"/>
        <v>2.87E-2</v>
      </c>
      <c r="CO66" s="38">
        <f t="shared" si="38"/>
        <v>2.9600000000000001E-2</v>
      </c>
      <c r="CP66" s="38">
        <f t="shared" si="38"/>
        <v>2.9100000000000001E-2</v>
      </c>
      <c r="CQ66" s="38">
        <f t="shared" si="38"/>
        <v>2.8899999999999999E-2</v>
      </c>
      <c r="CR66" s="38">
        <f t="shared" si="38"/>
        <v>3.0599999999999999E-2</v>
      </c>
      <c r="CS66" s="38">
        <f t="shared" si="38"/>
        <v>2.9600000000000001E-2</v>
      </c>
      <c r="CT66" s="38">
        <f t="shared" si="38"/>
        <v>2.7799999999999998E-2</v>
      </c>
      <c r="CU66" s="38">
        <f t="shared" si="38"/>
        <v>2.5700000000000001E-2</v>
      </c>
      <c r="CV66" s="38">
        <f t="shared" si="38"/>
        <v>2.3E-2</v>
      </c>
      <c r="CW66" s="38">
        <f t="shared" si="38"/>
        <v>2.2700000000000001E-2</v>
      </c>
      <c r="CX66" s="38">
        <f t="shared" si="38"/>
        <v>2.01E-2</v>
      </c>
      <c r="CY66" s="38">
        <f t="shared" si="38"/>
        <v>1.8599999999999998E-2</v>
      </c>
      <c r="CZ66" s="38">
        <f t="shared" si="38"/>
        <v>0.02</v>
      </c>
      <c r="DA66" s="38">
        <f t="shared" si="38"/>
        <v>1.8200000000000001E-2</v>
      </c>
      <c r="DB66" s="38">
        <f t="shared" si="38"/>
        <v>1.6299999999999999E-2</v>
      </c>
      <c r="DC66" s="38">
        <f t="shared" si="38"/>
        <v>1.4999999999999999E-2</v>
      </c>
      <c r="DD66" s="38">
        <f t="shared" si="38"/>
        <v>1.3599999999999999E-2</v>
      </c>
      <c r="DE66" s="38">
        <f t="shared" si="38"/>
        <v>1.23E-2</v>
      </c>
      <c r="DF66" s="38">
        <f t="shared" si="38"/>
        <v>1.0699999999999999E-2</v>
      </c>
      <c r="DG66" s="38">
        <f t="shared" si="38"/>
        <v>8.9999999999999993E-3</v>
      </c>
      <c r="DH66" s="38">
        <f t="shared" si="38"/>
        <v>8.3999999999999995E-3</v>
      </c>
      <c r="DI66" s="38">
        <f t="shared" si="38"/>
        <v>6.8999999999999999E-3</v>
      </c>
      <c r="DJ66" s="38">
        <f t="shared" si="38"/>
        <v>7.1999999999999998E-3</v>
      </c>
      <c r="DK66" s="38">
        <f t="shared" si="38"/>
        <v>7.4999999999999997E-3</v>
      </c>
      <c r="DL66" s="38">
        <f t="shared" si="38"/>
        <v>7.6E-3</v>
      </c>
      <c r="DM66" s="38">
        <f t="shared" si="38"/>
        <v>7.6E-3</v>
      </c>
      <c r="DN66" s="38">
        <f t="shared" si="38"/>
        <v>7.7999999999999996E-3</v>
      </c>
      <c r="DO66" s="38">
        <f t="shared" si="38"/>
        <v>8.0999999999999996E-3</v>
      </c>
      <c r="DP66" s="38">
        <f t="shared" si="38"/>
        <v>8.3000000000000001E-3</v>
      </c>
      <c r="DQ66" s="38">
        <f t="shared" si="38"/>
        <v>8.6E-3</v>
      </c>
      <c r="DR66" s="38">
        <f t="shared" si="38"/>
        <v>9.1000000000000004E-3</v>
      </c>
      <c r="DS66" s="38">
        <f t="shared" si="38"/>
        <v>8.9999999999999993E-3</v>
      </c>
      <c r="DT66" s="38">
        <f t="shared" si="38"/>
        <v>9.4000000000000004E-3</v>
      </c>
      <c r="DU66" s="38">
        <f t="shared" si="38"/>
        <v>1.03E-2</v>
      </c>
      <c r="DV66" s="38">
        <f t="shared" si="38"/>
        <v>1.14E-2</v>
      </c>
      <c r="DW66" s="38">
        <f t="shared" si="38"/>
        <v>1.15E-2</v>
      </c>
      <c r="DX66" s="38">
        <f t="shared" si="38"/>
        <v>1.17E-2</v>
      </c>
      <c r="DY66" s="38">
        <f t="shared" si="38"/>
        <v>1.3299999999999999E-2</v>
      </c>
      <c r="DZ66" s="38">
        <f t="shared" si="38"/>
        <v>1.47E-2</v>
      </c>
      <c r="EA66" s="38">
        <f t="shared" si="38"/>
        <v>1.6299999999999999E-2</v>
      </c>
      <c r="EB66" s="38">
        <f t="shared" si="38"/>
        <v>1.8599999999999998E-2</v>
      </c>
      <c r="EC66" s="38">
        <f t="shared" si="38"/>
        <v>2.12E-2</v>
      </c>
      <c r="ED66" s="38">
        <f t="shared" si="38"/>
        <v>2.46E-2</v>
      </c>
    </row>
    <row r="67" spans="1:134">
      <c r="Z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row>
    <row r="68" spans="1:134" ht="15">
      <c r="B68" s="2" t="s">
        <v>60</v>
      </c>
      <c r="Z68" s="17"/>
      <c r="CI68" s="38">
        <f>ROUND(CI64/CI51,4)</f>
        <v>1.9900000000000001E-2</v>
      </c>
      <c r="CJ68" s="38">
        <f t="shared" ref="CJ68:ED68" si="39">ROUND(CJ64/CJ51,4)</f>
        <v>2.76E-2</v>
      </c>
      <c r="CK68" s="38">
        <f t="shared" si="39"/>
        <v>3.3599999999999998E-2</v>
      </c>
      <c r="CL68" s="38">
        <f t="shared" si="39"/>
        <v>3.1800000000000002E-2</v>
      </c>
      <c r="CM68" s="38">
        <f t="shared" si="39"/>
        <v>4.6100000000000002E-2</v>
      </c>
      <c r="CN68" s="38">
        <f t="shared" si="39"/>
        <v>2.7699999999999999E-2</v>
      </c>
      <c r="CO68" s="38">
        <f t="shared" si="39"/>
        <v>4.1399999999999999E-2</v>
      </c>
      <c r="CP68" s="38">
        <f t="shared" si="39"/>
        <v>2.5899999999999999E-2</v>
      </c>
      <c r="CQ68" s="38">
        <f t="shared" si="39"/>
        <v>2.87E-2</v>
      </c>
      <c r="CR68" s="38">
        <f t="shared" si="39"/>
        <v>2.87E-2</v>
      </c>
      <c r="CS68" s="38">
        <f t="shared" si="39"/>
        <v>1.84E-2</v>
      </c>
      <c r="CT68" s="38">
        <f t="shared" si="39"/>
        <v>1.6E-2</v>
      </c>
      <c r="CU68" s="38">
        <f t="shared" si="39"/>
        <v>1.3899999999999999E-2</v>
      </c>
      <c r="CV68" s="38">
        <f t="shared" si="39"/>
        <v>1.4800000000000001E-2</v>
      </c>
      <c r="CW68" s="38">
        <f t="shared" si="39"/>
        <v>1.5100000000000001E-2</v>
      </c>
      <c r="CX68" s="38">
        <f t="shared" si="39"/>
        <v>1.32E-2</v>
      </c>
      <c r="CY68" s="38">
        <f t="shared" si="39"/>
        <v>1.24E-2</v>
      </c>
      <c r="CZ68" s="38">
        <f t="shared" si="39"/>
        <v>1.43E-2</v>
      </c>
      <c r="DA68" s="38">
        <f t="shared" si="39"/>
        <v>1.1599999999999999E-2</v>
      </c>
      <c r="DB68" s="38">
        <f t="shared" si="39"/>
        <v>1.0200000000000001E-2</v>
      </c>
      <c r="DC68" s="38">
        <f t="shared" si="39"/>
        <v>1.09E-2</v>
      </c>
      <c r="DD68" s="38">
        <f t="shared" si="39"/>
        <v>9.9000000000000008E-3</v>
      </c>
      <c r="DE68" s="38">
        <f t="shared" si="39"/>
        <v>8.6E-3</v>
      </c>
      <c r="DF68" s="38">
        <f t="shared" si="39"/>
        <v>7.1999999999999998E-3</v>
      </c>
      <c r="DG68" s="38">
        <f t="shared" si="39"/>
        <v>5.4999999999999997E-3</v>
      </c>
      <c r="DH68" s="38">
        <f t="shared" si="39"/>
        <v>5.0000000000000001E-3</v>
      </c>
      <c r="DI68" s="38">
        <f t="shared" si="39"/>
        <v>4.7000000000000002E-3</v>
      </c>
      <c r="DJ68" s="38">
        <f t="shared" si="39"/>
        <v>7.3499999999999996E-2</v>
      </c>
      <c r="DK68" s="38">
        <f t="shared" si="39"/>
        <v>6.0900000000000003E-2</v>
      </c>
      <c r="DL68" s="38">
        <f t="shared" si="39"/>
        <v>1.1900000000000001E-2</v>
      </c>
      <c r="DM68" s="38">
        <f t="shared" si="39"/>
        <v>1.1900000000000001E-2</v>
      </c>
      <c r="DN68" s="38">
        <f t="shared" si="39"/>
        <v>1.1900000000000001E-2</v>
      </c>
      <c r="DO68" s="38">
        <f t="shared" si="39"/>
        <v>1.1900000000000001E-2</v>
      </c>
      <c r="DP68" s="38">
        <f t="shared" si="39"/>
        <v>1.1900000000000001E-2</v>
      </c>
      <c r="DQ68" s="38">
        <f t="shared" si="39"/>
        <v>1.1900000000000001E-2</v>
      </c>
      <c r="DR68" s="38">
        <f t="shared" si="39"/>
        <v>1.1900000000000001E-2</v>
      </c>
      <c r="DS68" s="38">
        <f t="shared" si="39"/>
        <v>5.1000000000000004E-3</v>
      </c>
      <c r="DT68" s="38">
        <f t="shared" si="39"/>
        <v>6.7000000000000002E-3</v>
      </c>
      <c r="DU68" s="38">
        <f t="shared" si="39"/>
        <v>6.7000000000000002E-3</v>
      </c>
      <c r="DV68" s="38">
        <f t="shared" si="39"/>
        <v>6.7999999999999996E-3</v>
      </c>
      <c r="DW68" s="38">
        <f t="shared" si="39"/>
        <v>7.6E-3</v>
      </c>
      <c r="DX68" s="38">
        <f t="shared" si="39"/>
        <v>7.7000000000000002E-3</v>
      </c>
      <c r="DY68" s="38">
        <f t="shared" si="39"/>
        <v>1.3100000000000001E-2</v>
      </c>
      <c r="DZ68" s="38">
        <f t="shared" si="39"/>
        <v>1.6199999999999999E-2</v>
      </c>
      <c r="EA68" s="38">
        <f t="shared" si="39"/>
        <v>1.49E-2</v>
      </c>
      <c r="EB68" s="38">
        <f t="shared" si="39"/>
        <v>1.7299999999999999E-2</v>
      </c>
      <c r="EC68" s="38">
        <f t="shared" si="39"/>
        <v>2.0199999999999999E-2</v>
      </c>
      <c r="ED68" s="38">
        <f t="shared" si="39"/>
        <v>2.3699999999999999E-2</v>
      </c>
    </row>
    <row r="69" spans="1:134">
      <c r="Z69" s="48"/>
    </row>
    <row r="70" spans="1:134" customFormat="1" ht="15.75">
      <c r="A70" s="11" t="s">
        <v>61</v>
      </c>
      <c r="B70" s="12"/>
      <c r="C70" s="12"/>
    </row>
    <row r="71" spans="1:134" customFormat="1" ht="15">
      <c r="A71" s="4"/>
      <c r="B71" s="4"/>
      <c r="C71" s="4"/>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row>
    <row r="72" spans="1:134" customFormat="1" ht="15">
      <c r="A72" s="13"/>
      <c r="B72" s="14" t="s">
        <v>62</v>
      </c>
      <c r="C72" s="4"/>
      <c r="BW72" s="15">
        <f t="shared" ref="BW72:ED72" si="40">+BW12</f>
        <v>43126</v>
      </c>
      <c r="BX72" s="15">
        <f t="shared" si="40"/>
        <v>43156</v>
      </c>
      <c r="BY72" s="15">
        <f t="shared" si="40"/>
        <v>43186</v>
      </c>
      <c r="BZ72" s="15">
        <f t="shared" si="40"/>
        <v>43216</v>
      </c>
      <c r="CA72" s="15">
        <f t="shared" si="40"/>
        <v>43246</v>
      </c>
      <c r="CB72" s="15">
        <f t="shared" si="40"/>
        <v>43276</v>
      </c>
      <c r="CC72" s="15">
        <f t="shared" si="40"/>
        <v>43306</v>
      </c>
      <c r="CD72" s="15">
        <f t="shared" si="40"/>
        <v>43336</v>
      </c>
      <c r="CE72" s="15">
        <f t="shared" si="40"/>
        <v>43366</v>
      </c>
      <c r="CF72" s="15">
        <f t="shared" si="40"/>
        <v>43396</v>
      </c>
      <c r="CG72" s="15">
        <f t="shared" si="40"/>
        <v>43426</v>
      </c>
      <c r="CH72" s="15">
        <f t="shared" si="40"/>
        <v>43456</v>
      </c>
      <c r="CI72" s="15">
        <f t="shared" si="40"/>
        <v>43486</v>
      </c>
      <c r="CJ72" s="15">
        <f t="shared" si="40"/>
        <v>43516</v>
      </c>
      <c r="CK72" s="15">
        <f t="shared" si="40"/>
        <v>43546</v>
      </c>
      <c r="CL72" s="15">
        <f t="shared" si="40"/>
        <v>43576</v>
      </c>
      <c r="CM72" s="15">
        <f t="shared" si="40"/>
        <v>43606</v>
      </c>
      <c r="CN72" s="15">
        <f t="shared" si="40"/>
        <v>43636</v>
      </c>
      <c r="CO72" s="15">
        <f t="shared" si="40"/>
        <v>43666</v>
      </c>
      <c r="CP72" s="15">
        <f t="shared" si="40"/>
        <v>43696</v>
      </c>
      <c r="CQ72" s="15">
        <f t="shared" si="40"/>
        <v>43726</v>
      </c>
      <c r="CR72" s="15">
        <f t="shared" si="40"/>
        <v>43756</v>
      </c>
      <c r="CS72" s="15">
        <f t="shared" si="40"/>
        <v>43786</v>
      </c>
      <c r="CT72" s="15">
        <f t="shared" si="40"/>
        <v>43816</v>
      </c>
      <c r="CU72" s="15">
        <f t="shared" si="40"/>
        <v>43846</v>
      </c>
      <c r="CV72" s="15">
        <f t="shared" si="40"/>
        <v>43876</v>
      </c>
      <c r="CW72" s="15">
        <f t="shared" si="40"/>
        <v>43906</v>
      </c>
      <c r="CX72" s="15">
        <f t="shared" si="40"/>
        <v>43936</v>
      </c>
      <c r="CY72" s="15">
        <f t="shared" si="40"/>
        <v>43966</v>
      </c>
      <c r="CZ72" s="15">
        <f t="shared" si="40"/>
        <v>43996</v>
      </c>
      <c r="DA72" s="15">
        <f t="shared" si="40"/>
        <v>44026</v>
      </c>
      <c r="DB72" s="15">
        <f t="shared" si="40"/>
        <v>44056</v>
      </c>
      <c r="DC72" s="15">
        <f t="shared" si="40"/>
        <v>44086</v>
      </c>
      <c r="DD72" s="15">
        <f t="shared" si="40"/>
        <v>44116</v>
      </c>
      <c r="DE72" s="15">
        <f t="shared" si="40"/>
        <v>44146</v>
      </c>
      <c r="DF72" s="15">
        <f t="shared" si="40"/>
        <v>44176</v>
      </c>
      <c r="DG72" s="15">
        <f t="shared" si="40"/>
        <v>44206</v>
      </c>
      <c r="DH72" s="15">
        <f t="shared" si="40"/>
        <v>44236</v>
      </c>
      <c r="DI72" s="15">
        <f t="shared" si="40"/>
        <v>44266</v>
      </c>
      <c r="DJ72" s="15">
        <f t="shared" si="40"/>
        <v>44296</v>
      </c>
      <c r="DK72" s="15">
        <f t="shared" si="40"/>
        <v>44326</v>
      </c>
      <c r="DL72" s="15">
        <f t="shared" si="40"/>
        <v>44356</v>
      </c>
      <c r="DM72" s="15">
        <f t="shared" si="40"/>
        <v>44386</v>
      </c>
      <c r="DN72" s="15">
        <f t="shared" si="40"/>
        <v>44416</v>
      </c>
      <c r="DO72" s="15">
        <f t="shared" si="40"/>
        <v>44446</v>
      </c>
      <c r="DP72" s="15">
        <f t="shared" si="40"/>
        <v>44476</v>
      </c>
      <c r="DQ72" s="15">
        <f t="shared" si="40"/>
        <v>44506</v>
      </c>
      <c r="DR72" s="15">
        <f t="shared" si="40"/>
        <v>44536</v>
      </c>
      <c r="DS72" s="15">
        <f t="shared" si="40"/>
        <v>44566</v>
      </c>
      <c r="DT72" s="15">
        <f t="shared" si="40"/>
        <v>44596</v>
      </c>
      <c r="DU72" s="15">
        <f t="shared" si="40"/>
        <v>44626</v>
      </c>
      <c r="DV72" s="15">
        <f t="shared" si="40"/>
        <v>44656</v>
      </c>
      <c r="DW72" s="15">
        <f t="shared" si="40"/>
        <v>44686</v>
      </c>
      <c r="DX72" s="15">
        <f t="shared" si="40"/>
        <v>44716</v>
      </c>
      <c r="DY72" s="15">
        <f t="shared" si="40"/>
        <v>44746</v>
      </c>
      <c r="DZ72" s="15">
        <f t="shared" si="40"/>
        <v>44776</v>
      </c>
      <c r="EA72" s="15">
        <f t="shared" si="40"/>
        <v>44806</v>
      </c>
      <c r="EB72" s="15">
        <f t="shared" si="40"/>
        <v>44836</v>
      </c>
      <c r="EC72" s="15">
        <f t="shared" si="40"/>
        <v>44866</v>
      </c>
      <c r="ED72" s="15">
        <f t="shared" si="40"/>
        <v>44896</v>
      </c>
    </row>
    <row r="73" spans="1:134" customFormat="1" ht="15">
      <c r="C73" s="4"/>
    </row>
    <row r="74" spans="1:134" customFormat="1" ht="15">
      <c r="A74" s="16" t="s">
        <v>63</v>
      </c>
      <c r="B74" t="s">
        <v>64</v>
      </c>
      <c r="C74" s="4"/>
      <c r="BW74" s="52">
        <v>25537.703129999998</v>
      </c>
      <c r="BX74" s="52">
        <v>25569.38091</v>
      </c>
      <c r="BY74" s="52">
        <v>25629.339929999998</v>
      </c>
      <c r="BZ74" s="52">
        <v>25705.333899999998</v>
      </c>
      <c r="CA74" s="52">
        <v>25790.760979999999</v>
      </c>
      <c r="CB74" s="52">
        <v>25830.275280000002</v>
      </c>
      <c r="CC74" s="52">
        <v>25852.232690000001</v>
      </c>
      <c r="CD74" s="52">
        <v>25925.983190000003</v>
      </c>
      <c r="CE74" s="52">
        <v>25893.012340000001</v>
      </c>
      <c r="CF74" s="52">
        <v>25992.2575</v>
      </c>
      <c r="CG74" s="52">
        <v>25966.855820000001</v>
      </c>
      <c r="CH74" s="52">
        <v>25903.685430000001</v>
      </c>
      <c r="CI74" s="52">
        <v>25867.705320000001</v>
      </c>
      <c r="CJ74" s="52">
        <v>25898.455109999999</v>
      </c>
      <c r="CK74" s="18">
        <v>25925.131819999999</v>
      </c>
      <c r="CL74" s="18">
        <v>25847.349969999999</v>
      </c>
      <c r="CM74" s="18">
        <v>25870.81739</v>
      </c>
      <c r="CN74" s="18">
        <v>25868.020230000002</v>
      </c>
      <c r="CO74" s="18">
        <v>25768.615089999999</v>
      </c>
      <c r="CP74" s="18">
        <v>25686.969590000001</v>
      </c>
      <c r="CQ74" s="18">
        <v>25634.262850000003</v>
      </c>
      <c r="CR74" s="18">
        <v>25695.380539999998</v>
      </c>
      <c r="CS74" s="18">
        <v>25691.903879999998</v>
      </c>
      <c r="CT74" s="18">
        <v>25704.516</v>
      </c>
      <c r="CU74" s="18">
        <v>25665.571920000002</v>
      </c>
      <c r="CV74" s="18">
        <v>25728.44166</v>
      </c>
      <c r="CW74" s="18">
        <v>25721.300809999997</v>
      </c>
      <c r="CX74" s="18">
        <v>25668.756000000001</v>
      </c>
      <c r="CY74" s="18">
        <v>25569.201969999998</v>
      </c>
      <c r="CZ74" s="18">
        <v>25464.047059999997</v>
      </c>
      <c r="DA74" s="18">
        <v>25456.79927</v>
      </c>
      <c r="DB74" s="18">
        <v>25416.773229999999</v>
      </c>
      <c r="DC74" s="18">
        <v>25432.97277</v>
      </c>
      <c r="DD74" s="18">
        <v>25393.55068</v>
      </c>
      <c r="DE74" s="18">
        <v>25333.30543</v>
      </c>
      <c r="DF74" s="18">
        <v>25075.278079999996</v>
      </c>
      <c r="DG74" s="18">
        <v>25241.811829999999</v>
      </c>
      <c r="DH74" s="18">
        <v>25273.973249999999</v>
      </c>
      <c r="DI74" s="18">
        <v>25387.42038</v>
      </c>
      <c r="DJ74" s="18">
        <v>25318.474699999999</v>
      </c>
      <c r="DK74" s="18">
        <v>25407.263769999998</v>
      </c>
      <c r="DL74" s="18">
        <v>25529.439879999998</v>
      </c>
      <c r="DM74" s="18">
        <f>+'[1]Bal Sheet'!EN93</f>
        <v>25706.203600000001</v>
      </c>
      <c r="DN74" s="18">
        <f>+'[1]Bal Sheet'!EO93</f>
        <v>25782.52836</v>
      </c>
      <c r="DO74" s="18">
        <f>+'[1]Bal Sheet'!EP93</f>
        <v>25962.796670000003</v>
      </c>
      <c r="DP74" s="18">
        <f>+'[1]Bal Sheet'!EQ93</f>
        <v>26074.226340000001</v>
      </c>
      <c r="DQ74" s="18">
        <f>+'[1]Bal Sheet'!ER93</f>
        <v>26300.461460000002</v>
      </c>
      <c r="DR74" s="18">
        <f>+'[1]Bal Sheet'!ES93</f>
        <v>26450.409190000002</v>
      </c>
      <c r="DS74" s="18">
        <f>+'[1]Bal Sheet'!ET93</f>
        <v>26724.60528</v>
      </c>
      <c r="DT74" s="18">
        <f>+'[1]Bal Sheet'!EU93</f>
        <v>26837.940440000002</v>
      </c>
      <c r="DU74" s="18">
        <f>+'[1]Bal Sheet'!EV93</f>
        <v>27025.575949999999</v>
      </c>
      <c r="DV74" s="18">
        <f>+'[1]Bal Sheet'!EW93</f>
        <v>27142.982909999999</v>
      </c>
      <c r="DW74" s="18">
        <f>+'[1]Bal Sheet'!EX93</f>
        <v>27369.426920000002</v>
      </c>
      <c r="DX74" s="18">
        <f>+'[1]Bal Sheet'!EY93</f>
        <v>27734.4241</v>
      </c>
      <c r="DY74" s="18">
        <f>+'[1]Bal Sheet'!EZ93</f>
        <v>27952.511770000001</v>
      </c>
      <c r="DZ74" s="18">
        <f>+'[1]Bal Sheet'!FA93</f>
        <v>28170.52145</v>
      </c>
      <c r="EA74" s="18">
        <f>+'[1]Bal Sheet'!FB93</f>
        <v>28457.241420000002</v>
      </c>
      <c r="EB74" s="18">
        <f>+'[1]Bal Sheet'!FC93</f>
        <v>28627.534520000001</v>
      </c>
      <c r="EC74" s="18">
        <f>+'[1]Bal Sheet'!FD93</f>
        <v>28840.164270000001</v>
      </c>
      <c r="ED74" s="18">
        <f>+'[1]Bal Sheet'!FE93</f>
        <v>29144.41906</v>
      </c>
    </row>
    <row r="75" spans="1:134" customFormat="1" ht="15">
      <c r="A75" s="16" t="s">
        <v>65</v>
      </c>
      <c r="B75" t="s">
        <v>66</v>
      </c>
      <c r="C75" s="4"/>
      <c r="BW75" s="52">
        <v>826</v>
      </c>
      <c r="BX75" s="52">
        <v>826</v>
      </c>
      <c r="BY75" s="52">
        <v>826</v>
      </c>
      <c r="BZ75" s="52">
        <v>826</v>
      </c>
      <c r="CA75" s="52">
        <v>826</v>
      </c>
      <c r="CB75" s="52">
        <v>836</v>
      </c>
      <c r="CC75" s="52">
        <v>836</v>
      </c>
      <c r="CD75" s="52">
        <v>661</v>
      </c>
      <c r="CE75" s="52">
        <v>661</v>
      </c>
      <c r="CF75" s="52">
        <v>511</v>
      </c>
      <c r="CG75" s="52">
        <v>511</v>
      </c>
      <c r="CH75" s="52">
        <v>511</v>
      </c>
      <c r="CI75" s="52">
        <v>511</v>
      </c>
      <c r="CJ75" s="52">
        <v>511</v>
      </c>
      <c r="CK75" s="21">
        <v>511</v>
      </c>
      <c r="CL75" s="21">
        <v>521</v>
      </c>
      <c r="CM75" s="21">
        <v>521</v>
      </c>
      <c r="CN75" s="21">
        <v>521</v>
      </c>
      <c r="CO75" s="21">
        <v>605</v>
      </c>
      <c r="CP75" s="21">
        <v>595</v>
      </c>
      <c r="CQ75" s="21">
        <v>569</v>
      </c>
      <c r="CR75" s="21">
        <v>569</v>
      </c>
      <c r="CS75" s="21">
        <v>569</v>
      </c>
      <c r="CT75" s="21">
        <v>569</v>
      </c>
      <c r="CU75" s="21">
        <v>569</v>
      </c>
      <c r="CV75" s="21">
        <v>594</v>
      </c>
      <c r="CW75" s="21">
        <v>594</v>
      </c>
      <c r="CX75" s="21">
        <v>594</v>
      </c>
      <c r="CY75" s="21">
        <v>594</v>
      </c>
      <c r="CZ75" s="21">
        <v>594</v>
      </c>
      <c r="DA75" s="21">
        <v>594</v>
      </c>
      <c r="DB75" s="21">
        <v>594</v>
      </c>
      <c r="DC75" s="21">
        <v>594</v>
      </c>
      <c r="DD75" s="21">
        <v>594</v>
      </c>
      <c r="DE75" s="21">
        <v>594</v>
      </c>
      <c r="DF75" s="21">
        <v>594</v>
      </c>
      <c r="DG75" s="21">
        <v>594</v>
      </c>
      <c r="DH75" s="21">
        <v>589</v>
      </c>
      <c r="DI75" s="21">
        <v>589</v>
      </c>
      <c r="DJ75" s="21">
        <v>589</v>
      </c>
      <c r="DK75" s="21">
        <v>589</v>
      </c>
      <c r="DL75" s="21">
        <v>589</v>
      </c>
      <c r="DM75" s="21">
        <f>+'[1]Bal Sheet'!EN78</f>
        <v>579</v>
      </c>
      <c r="DN75" s="21">
        <f>+'[1]Bal Sheet'!EO78</f>
        <v>579</v>
      </c>
      <c r="DO75" s="21">
        <f>+'[1]Bal Sheet'!EP78</f>
        <v>579</v>
      </c>
      <c r="DP75" s="21">
        <f>+'[1]Bal Sheet'!EQ78</f>
        <v>604</v>
      </c>
      <c r="DQ75" s="21">
        <f>+'[1]Bal Sheet'!ER78</f>
        <v>604</v>
      </c>
      <c r="DR75" s="21">
        <f>+'[1]Bal Sheet'!ES78</f>
        <v>604</v>
      </c>
      <c r="DS75" s="21">
        <f>+'[1]Bal Sheet'!ET78</f>
        <v>604</v>
      </c>
      <c r="DT75" s="21">
        <f>+'[1]Bal Sheet'!EU78</f>
        <v>604</v>
      </c>
      <c r="DU75" s="21">
        <f>+'[1]Bal Sheet'!EV78</f>
        <v>604</v>
      </c>
      <c r="DV75" s="21">
        <f>+'[1]Bal Sheet'!EW78</f>
        <v>604</v>
      </c>
      <c r="DW75" s="21">
        <f>+'[1]Bal Sheet'!EX78</f>
        <v>614</v>
      </c>
      <c r="DX75" s="21">
        <f>+'[1]Bal Sheet'!EY78</f>
        <v>614</v>
      </c>
      <c r="DY75" s="21">
        <f>+'[1]Bal Sheet'!EZ78</f>
        <v>614</v>
      </c>
      <c r="DZ75" s="21">
        <f>+'[1]Bal Sheet'!FA78</f>
        <v>614</v>
      </c>
      <c r="EA75" s="21">
        <f>+'[1]Bal Sheet'!FB78</f>
        <v>614</v>
      </c>
      <c r="EB75" s="21">
        <f>+'[1]Bal Sheet'!FC78</f>
        <v>614</v>
      </c>
      <c r="EC75" s="21">
        <f>+'[1]Bal Sheet'!FD78</f>
        <v>614</v>
      </c>
      <c r="ED75" s="21">
        <f>+'[1]Bal Sheet'!FE78</f>
        <v>715</v>
      </c>
    </row>
    <row r="76" spans="1:134" customFormat="1" ht="15">
      <c r="A76" s="16" t="s">
        <v>67</v>
      </c>
      <c r="B76" t="s">
        <v>68</v>
      </c>
      <c r="C76" s="4"/>
      <c r="BW76" s="53">
        <v>418.29614000000004</v>
      </c>
      <c r="BX76" s="53">
        <v>420.2747</v>
      </c>
      <c r="BY76" s="53">
        <v>398.13698999999997</v>
      </c>
      <c r="BZ76" s="53">
        <v>18.499890000000001</v>
      </c>
      <c r="CA76" s="53">
        <v>17.96782</v>
      </c>
      <c r="CB76" s="53">
        <v>11.903780000000001</v>
      </c>
      <c r="CC76" s="53">
        <v>11.903780000000001</v>
      </c>
      <c r="CD76" s="53">
        <v>11.931760000000001</v>
      </c>
      <c r="CE76" s="53">
        <v>10.16513</v>
      </c>
      <c r="CF76" s="53">
        <v>0.55321000000000009</v>
      </c>
      <c r="CG76" s="53">
        <v>0.55321000000000009</v>
      </c>
      <c r="CH76" s="53">
        <v>0.55321000000000009</v>
      </c>
      <c r="CI76" s="53">
        <v>0.55321000000000009</v>
      </c>
      <c r="CJ76" s="53">
        <v>0.52522999999999997</v>
      </c>
      <c r="CK76" s="54">
        <v>0.52522999999999997</v>
      </c>
      <c r="CL76" s="54">
        <v>-2.26512</v>
      </c>
      <c r="CM76" s="54">
        <v>1.2217199999999999</v>
      </c>
      <c r="CN76" s="54">
        <v>1.4446300000000001</v>
      </c>
      <c r="CO76" s="54">
        <v>1.4446300000000001</v>
      </c>
      <c r="CP76" s="54">
        <v>4.1596299999999999</v>
      </c>
      <c r="CQ76" s="54">
        <v>-2.3749600000000002</v>
      </c>
      <c r="CR76" s="54">
        <v>2.0500400000000001</v>
      </c>
      <c r="CS76" s="54">
        <v>5.9486000000000008</v>
      </c>
      <c r="CT76" s="54">
        <v>5.9486000000000008</v>
      </c>
      <c r="CU76" s="54">
        <v>5.9486000000000008</v>
      </c>
      <c r="CV76" s="54">
        <v>7.5486000000000004</v>
      </c>
      <c r="CW76" s="54">
        <v>37.371169999999999</v>
      </c>
      <c r="CX76" s="54">
        <v>37.371169999999999</v>
      </c>
      <c r="CY76" s="54">
        <v>32.093110000000003</v>
      </c>
      <c r="CZ76" s="54">
        <v>31.462919999999997</v>
      </c>
      <c r="DA76" s="54">
        <v>31.20412</v>
      </c>
      <c r="DB76" s="54">
        <v>34.579120000000003</v>
      </c>
      <c r="DC76" s="54">
        <v>28.95168</v>
      </c>
      <c r="DD76" s="54">
        <v>26.57002</v>
      </c>
      <c r="DE76" s="54">
        <v>26.57002</v>
      </c>
      <c r="DF76" s="54">
        <v>26.425129999999999</v>
      </c>
      <c r="DG76" s="54">
        <v>35.625129999999999</v>
      </c>
      <c r="DH76" s="54">
        <v>49.118730000000006</v>
      </c>
      <c r="DI76" s="54">
        <v>48.930610000000001</v>
      </c>
      <c r="DJ76" s="54">
        <v>48.868660000000006</v>
      </c>
      <c r="DK76" s="54">
        <v>46.580419999999997</v>
      </c>
      <c r="DL76" s="54">
        <v>47.880420000000001</v>
      </c>
      <c r="DM76" s="54">
        <f>+'[1]Bal Sheet'!EN84</f>
        <v>48.230419999999995</v>
      </c>
      <c r="DN76" s="54">
        <f>+'[1]Bal Sheet'!EO84</f>
        <v>48.230419999999995</v>
      </c>
      <c r="DO76" s="54">
        <f>+'[1]Bal Sheet'!EP84</f>
        <v>48.230419999999995</v>
      </c>
      <c r="DP76" s="54">
        <f>+'[1]Bal Sheet'!EQ84</f>
        <v>51.395890000000001</v>
      </c>
      <c r="DQ76" s="54">
        <f>+'[1]Bal Sheet'!ER84</f>
        <v>51.289389999999997</v>
      </c>
      <c r="DR76" s="54">
        <f>+'[1]Bal Sheet'!ES84</f>
        <v>51.289389999999997</v>
      </c>
      <c r="DS76" s="54">
        <f>+'[1]Bal Sheet'!ET84</f>
        <v>51.289389999999997</v>
      </c>
      <c r="DT76" s="54">
        <f>+'[1]Bal Sheet'!EU84</f>
        <v>52.022760000000005</v>
      </c>
      <c r="DU76" s="54">
        <f>+'[1]Bal Sheet'!EV84</f>
        <v>87.422029999999992</v>
      </c>
      <c r="DV76" s="54">
        <f>+'[1]Bal Sheet'!EW84</f>
        <v>87.422029999999992</v>
      </c>
      <c r="DW76" s="54">
        <f>+'[1]Bal Sheet'!EX84</f>
        <v>87.422029999999992</v>
      </c>
      <c r="DX76" s="54">
        <f>+'[1]Bal Sheet'!EY84</f>
        <v>91.297029999999992</v>
      </c>
      <c r="DY76" s="54">
        <f>+'[1]Bal Sheet'!EZ84</f>
        <v>91.297029999999992</v>
      </c>
      <c r="DZ76" s="54">
        <f>+'[1]Bal Sheet'!FA84</f>
        <v>91.297029999999992</v>
      </c>
      <c r="EA76" s="54">
        <f>+'[1]Bal Sheet'!FB84</f>
        <v>93.897030000000001</v>
      </c>
      <c r="EB76" s="54">
        <f>+'[1]Bal Sheet'!FC84</f>
        <v>93.727220000000003</v>
      </c>
      <c r="EC76" s="54">
        <f>+'[1]Bal Sheet'!FD84</f>
        <v>93.246369999999999</v>
      </c>
      <c r="ED76" s="54">
        <f>+'[1]Bal Sheet'!FE84</f>
        <v>93.246369999999999</v>
      </c>
    </row>
    <row r="77" spans="1:134" customFormat="1" ht="15">
      <c r="B77" s="24" t="s">
        <v>62</v>
      </c>
      <c r="C77" s="4"/>
      <c r="BW77" s="52">
        <f t="shared" ref="BW77:CS77" si="41">SUM(BW74:BW76)</f>
        <v>26781.999269999997</v>
      </c>
      <c r="BX77" s="52">
        <f t="shared" si="41"/>
        <v>26815.655610000002</v>
      </c>
      <c r="BY77" s="52">
        <f t="shared" si="41"/>
        <v>26853.476919999997</v>
      </c>
      <c r="BZ77" s="52">
        <f t="shared" si="41"/>
        <v>26549.833789999997</v>
      </c>
      <c r="CA77" s="52">
        <f t="shared" si="41"/>
        <v>26634.728800000001</v>
      </c>
      <c r="CB77" s="52">
        <f t="shared" si="41"/>
        <v>26678.179060000002</v>
      </c>
      <c r="CC77" s="52">
        <f t="shared" si="41"/>
        <v>26700.136470000001</v>
      </c>
      <c r="CD77" s="52">
        <f t="shared" si="41"/>
        <v>26598.914950000002</v>
      </c>
      <c r="CE77" s="52">
        <f t="shared" si="41"/>
        <v>26564.177470000002</v>
      </c>
      <c r="CF77" s="52">
        <f t="shared" si="41"/>
        <v>26503.810709999998</v>
      </c>
      <c r="CG77" s="52">
        <f t="shared" si="41"/>
        <v>26478.409029999999</v>
      </c>
      <c r="CH77" s="52">
        <f t="shared" si="41"/>
        <v>26415.23864</v>
      </c>
      <c r="CI77" s="52">
        <f t="shared" si="41"/>
        <v>26379.258529999999</v>
      </c>
      <c r="CJ77" s="52">
        <f t="shared" si="41"/>
        <v>26409.980339999998</v>
      </c>
      <c r="CK77" s="52">
        <f t="shared" si="41"/>
        <v>26436.657049999998</v>
      </c>
      <c r="CL77" s="52">
        <f t="shared" si="41"/>
        <v>26366.084849999999</v>
      </c>
      <c r="CM77" s="52">
        <f t="shared" si="41"/>
        <v>26393.039110000002</v>
      </c>
      <c r="CN77" s="52">
        <f t="shared" si="41"/>
        <v>26390.464860000004</v>
      </c>
      <c r="CO77" s="52">
        <f t="shared" si="41"/>
        <v>26375.059720000001</v>
      </c>
      <c r="CP77" s="52">
        <f t="shared" si="41"/>
        <v>26286.129219999999</v>
      </c>
      <c r="CQ77" s="52">
        <f t="shared" si="41"/>
        <v>26200.887890000002</v>
      </c>
      <c r="CR77" s="52">
        <f t="shared" si="41"/>
        <v>26266.430579999997</v>
      </c>
      <c r="CS77" s="52">
        <f t="shared" si="41"/>
        <v>26266.852479999998</v>
      </c>
      <c r="CT77" s="52">
        <f t="shared" ref="CT77:ED77" si="42">SUM(CT74:CT76)</f>
        <v>26279.464599999999</v>
      </c>
      <c r="CU77" s="52">
        <f t="shared" si="42"/>
        <v>26240.520520000002</v>
      </c>
      <c r="CV77" s="52">
        <f t="shared" si="42"/>
        <v>26329.990259999999</v>
      </c>
      <c r="CW77" s="52">
        <f t="shared" si="42"/>
        <v>26352.671979999996</v>
      </c>
      <c r="CX77" s="52">
        <f t="shared" si="42"/>
        <v>26300.12717</v>
      </c>
      <c r="CY77" s="52">
        <f t="shared" si="42"/>
        <v>26195.29508</v>
      </c>
      <c r="CZ77" s="52">
        <f t="shared" si="42"/>
        <v>26089.509979999999</v>
      </c>
      <c r="DA77" s="52">
        <f t="shared" si="42"/>
        <v>26082.003389999998</v>
      </c>
      <c r="DB77" s="52">
        <f t="shared" si="42"/>
        <v>26045.352349999997</v>
      </c>
      <c r="DC77" s="52">
        <f t="shared" si="42"/>
        <v>26055.924449999999</v>
      </c>
      <c r="DD77" s="52">
        <f t="shared" si="42"/>
        <v>26014.120699999999</v>
      </c>
      <c r="DE77" s="52">
        <f t="shared" si="42"/>
        <v>25953.87545</v>
      </c>
      <c r="DF77" s="52">
        <f t="shared" si="42"/>
        <v>25695.703209999996</v>
      </c>
      <c r="DG77" s="52">
        <f t="shared" si="42"/>
        <v>25871.436959999999</v>
      </c>
      <c r="DH77" s="52">
        <f t="shared" si="42"/>
        <v>25912.091979999997</v>
      </c>
      <c r="DI77" s="52">
        <f t="shared" si="42"/>
        <v>26025.350989999999</v>
      </c>
      <c r="DJ77" s="52">
        <f t="shared" si="42"/>
        <v>25956.343359999999</v>
      </c>
      <c r="DK77" s="52">
        <f t="shared" si="42"/>
        <v>26042.844189999996</v>
      </c>
      <c r="DL77" s="52">
        <f t="shared" si="42"/>
        <v>26166.320299999999</v>
      </c>
      <c r="DM77" s="52">
        <f t="shared" si="42"/>
        <v>26333.434020000001</v>
      </c>
      <c r="DN77" s="52">
        <f t="shared" si="42"/>
        <v>26409.75878</v>
      </c>
      <c r="DO77" s="52">
        <f t="shared" si="42"/>
        <v>26590.027090000003</v>
      </c>
      <c r="DP77" s="52">
        <f t="shared" si="42"/>
        <v>26729.622230000001</v>
      </c>
      <c r="DQ77" s="52">
        <f t="shared" si="42"/>
        <v>26955.750850000004</v>
      </c>
      <c r="DR77" s="52">
        <f t="shared" si="42"/>
        <v>27105.698580000004</v>
      </c>
      <c r="DS77" s="52">
        <f t="shared" si="42"/>
        <v>27379.894670000001</v>
      </c>
      <c r="DT77" s="52">
        <f t="shared" si="42"/>
        <v>27493.963200000002</v>
      </c>
      <c r="DU77" s="52">
        <f t="shared" si="42"/>
        <v>27716.99798</v>
      </c>
      <c r="DV77" s="52">
        <f t="shared" si="42"/>
        <v>27834.40494</v>
      </c>
      <c r="DW77" s="52">
        <f t="shared" si="42"/>
        <v>28070.848950000003</v>
      </c>
      <c r="DX77" s="52">
        <f t="shared" si="42"/>
        <v>28439.721130000002</v>
      </c>
      <c r="DY77" s="52">
        <f t="shared" si="42"/>
        <v>28657.808800000003</v>
      </c>
      <c r="DZ77" s="52">
        <f t="shared" si="42"/>
        <v>28875.818480000002</v>
      </c>
      <c r="EA77" s="52">
        <f t="shared" si="42"/>
        <v>29165.138450000002</v>
      </c>
      <c r="EB77" s="52">
        <f t="shared" si="42"/>
        <v>29335.261740000002</v>
      </c>
      <c r="EC77" s="52">
        <f t="shared" si="42"/>
        <v>29547.410640000002</v>
      </c>
      <c r="ED77" s="52">
        <f t="shared" si="42"/>
        <v>29952.665430000001</v>
      </c>
    </row>
    <row r="78" spans="1:134" customFormat="1" ht="15">
      <c r="C78" s="4"/>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row>
    <row r="79" spans="1:134" customFormat="1" ht="15">
      <c r="B79" s="55" t="s">
        <v>69</v>
      </c>
      <c r="C79" s="4"/>
      <c r="BW79" s="52"/>
      <c r="BX79" s="52"/>
      <c r="BY79" s="52"/>
      <c r="BZ79" s="52"/>
      <c r="CA79" s="52"/>
      <c r="CB79" s="52"/>
      <c r="CC79" s="52"/>
      <c r="CD79" s="52"/>
      <c r="CE79" s="52"/>
      <c r="CF79" s="52"/>
      <c r="CG79" s="52"/>
      <c r="CH79" s="52"/>
      <c r="CI79" s="52">
        <f t="shared" ref="CI79:CS79" si="43">SUM(BW77:CI77)/13</f>
        <v>26611.832249999999</v>
      </c>
      <c r="CJ79" s="52">
        <f t="shared" si="43"/>
        <v>26583.215409230768</v>
      </c>
      <c r="CK79" s="26">
        <f t="shared" si="43"/>
        <v>26554.061673846154</v>
      </c>
      <c r="CL79" s="26">
        <f t="shared" si="43"/>
        <v>26516.569976153845</v>
      </c>
      <c r="CM79" s="26">
        <f t="shared" si="43"/>
        <v>26504.508846923072</v>
      </c>
      <c r="CN79" s="26">
        <f t="shared" si="43"/>
        <v>26485.719313076926</v>
      </c>
      <c r="CO79" s="26">
        <f t="shared" si="43"/>
        <v>26462.402440769234</v>
      </c>
      <c r="CP79" s="26">
        <f t="shared" si="43"/>
        <v>26430.555729230771</v>
      </c>
      <c r="CQ79" s="26">
        <f t="shared" si="43"/>
        <v>26399.938263076925</v>
      </c>
      <c r="CR79" s="26">
        <f t="shared" si="43"/>
        <v>26377.03465615385</v>
      </c>
      <c r="CS79" s="26">
        <f t="shared" si="43"/>
        <v>26358.807099999998</v>
      </c>
      <c r="CT79" s="26">
        <f t="shared" ref="CT79:DL79" si="44">SUM(CH77:CT77)/13</f>
        <v>26343.503682307692</v>
      </c>
      <c r="CU79" s="26">
        <f t="shared" si="44"/>
        <v>26330.06382692308</v>
      </c>
      <c r="CV79" s="26">
        <f t="shared" si="44"/>
        <v>26326.273959999999</v>
      </c>
      <c r="CW79" s="26">
        <f t="shared" si="44"/>
        <v>26321.865624615384</v>
      </c>
      <c r="CX79" s="26">
        <f t="shared" si="44"/>
        <v>26311.363326153842</v>
      </c>
      <c r="CY79" s="26">
        <f t="shared" si="44"/>
        <v>26298.225651538462</v>
      </c>
      <c r="CZ79" s="26">
        <f t="shared" si="44"/>
        <v>26274.877256923071</v>
      </c>
      <c r="DA79" s="26">
        <f t="shared" si="44"/>
        <v>26251.149451538455</v>
      </c>
      <c r="DB79" s="26">
        <f t="shared" si="44"/>
        <v>26225.787346153837</v>
      </c>
      <c r="DC79" s="26">
        <f t="shared" si="44"/>
        <v>26208.079286923075</v>
      </c>
      <c r="DD79" s="26">
        <f t="shared" si="44"/>
        <v>26193.712579999996</v>
      </c>
      <c r="DE79" s="26">
        <f t="shared" si="44"/>
        <v>26169.6698776923</v>
      </c>
      <c r="DF79" s="26">
        <f t="shared" si="44"/>
        <v>26125.735318461542</v>
      </c>
      <c r="DG79" s="26">
        <f t="shared" si="44"/>
        <v>26094.348576923079</v>
      </c>
      <c r="DH79" s="26">
        <f t="shared" si="44"/>
        <v>26069.084843076918</v>
      </c>
      <c r="DI79" s="26">
        <f t="shared" si="44"/>
        <v>26045.651053076919</v>
      </c>
      <c r="DJ79" s="26">
        <f t="shared" si="44"/>
        <v>26015.164236153843</v>
      </c>
      <c r="DK79" s="26">
        <f t="shared" si="44"/>
        <v>25995.373237692304</v>
      </c>
      <c r="DL79" s="26">
        <f t="shared" si="44"/>
        <v>25993.14440846154</v>
      </c>
      <c r="DM79" s="26">
        <f t="shared" ref="DM79:ED79" si="45">SUM(DA77:DM77)/13</f>
        <v>26011.907796153842</v>
      </c>
      <c r="DN79" s="26">
        <f t="shared" si="45"/>
        <v>26037.119749230766</v>
      </c>
      <c r="DO79" s="26">
        <f t="shared" si="45"/>
        <v>26079.017806153843</v>
      </c>
      <c r="DP79" s="26">
        <f t="shared" si="45"/>
        <v>26130.840712307687</v>
      </c>
      <c r="DQ79" s="26">
        <f t="shared" si="45"/>
        <v>26203.273800769231</v>
      </c>
      <c r="DR79" s="26">
        <f t="shared" si="45"/>
        <v>26291.87558</v>
      </c>
      <c r="DS79" s="26">
        <f t="shared" si="45"/>
        <v>26421.42876923077</v>
      </c>
      <c r="DT79" s="26">
        <f t="shared" si="45"/>
        <v>26546.238480000004</v>
      </c>
      <c r="DU79" s="26">
        <f t="shared" si="45"/>
        <v>26685.077403076924</v>
      </c>
      <c r="DV79" s="26">
        <f t="shared" si="45"/>
        <v>26824.235399230769</v>
      </c>
      <c r="DW79" s="26">
        <f t="shared" si="45"/>
        <v>26986.889675384617</v>
      </c>
      <c r="DX79" s="26">
        <f t="shared" si="45"/>
        <v>27171.264824615388</v>
      </c>
      <c r="DY79" s="26">
        <f t="shared" si="45"/>
        <v>27362.917786153848</v>
      </c>
      <c r="DZ79" s="26">
        <f t="shared" si="45"/>
        <v>27558.485821538467</v>
      </c>
      <c r="EA79" s="26">
        <f t="shared" si="45"/>
        <v>27770.438103846158</v>
      </c>
      <c r="EB79" s="26">
        <f t="shared" si="45"/>
        <v>27981.610000000004</v>
      </c>
      <c r="EC79" s="26">
        <f t="shared" si="45"/>
        <v>28198.36295461539</v>
      </c>
      <c r="ED79" s="26">
        <f t="shared" si="45"/>
        <v>28428.894845384617</v>
      </c>
    </row>
    <row r="80" spans="1:134" customFormat="1" ht="15">
      <c r="C80" s="4"/>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row>
    <row r="81" spans="1:144" customFormat="1" ht="15">
      <c r="C81" s="4"/>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row>
    <row r="82" spans="1:144" customFormat="1" ht="15">
      <c r="C82" s="4"/>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row>
    <row r="83" spans="1:144" customFormat="1" ht="15">
      <c r="B83" s="14" t="s">
        <v>70</v>
      </c>
      <c r="C83" s="4"/>
      <c r="BW83" s="15">
        <f t="shared" ref="BW83:ED83" si="46">BW72</f>
        <v>43126</v>
      </c>
      <c r="BX83" s="15">
        <f t="shared" si="46"/>
        <v>43156</v>
      </c>
      <c r="BY83" s="15">
        <f t="shared" si="46"/>
        <v>43186</v>
      </c>
      <c r="BZ83" s="15">
        <f t="shared" si="46"/>
        <v>43216</v>
      </c>
      <c r="CA83" s="15">
        <f t="shared" si="46"/>
        <v>43246</v>
      </c>
      <c r="CB83" s="15">
        <f t="shared" si="46"/>
        <v>43276</v>
      </c>
      <c r="CC83" s="15">
        <f t="shared" si="46"/>
        <v>43306</v>
      </c>
      <c r="CD83" s="15">
        <f t="shared" si="46"/>
        <v>43336</v>
      </c>
      <c r="CE83" s="15">
        <f t="shared" si="46"/>
        <v>43366</v>
      </c>
      <c r="CF83" s="15">
        <f t="shared" si="46"/>
        <v>43396</v>
      </c>
      <c r="CG83" s="15">
        <f t="shared" si="46"/>
        <v>43426</v>
      </c>
      <c r="CH83" s="15">
        <f t="shared" si="46"/>
        <v>43456</v>
      </c>
      <c r="CI83" s="15">
        <f t="shared" si="46"/>
        <v>43486</v>
      </c>
      <c r="CJ83" s="15">
        <f t="shared" si="46"/>
        <v>43516</v>
      </c>
      <c r="CK83" s="15">
        <f t="shared" si="46"/>
        <v>43546</v>
      </c>
      <c r="CL83" s="15">
        <f t="shared" si="46"/>
        <v>43576</v>
      </c>
      <c r="CM83" s="15">
        <f t="shared" si="46"/>
        <v>43606</v>
      </c>
      <c r="CN83" s="15">
        <f t="shared" si="46"/>
        <v>43636</v>
      </c>
      <c r="CO83" s="15">
        <f t="shared" si="46"/>
        <v>43666</v>
      </c>
      <c r="CP83" s="15">
        <f t="shared" si="46"/>
        <v>43696</v>
      </c>
      <c r="CQ83" s="15">
        <f t="shared" si="46"/>
        <v>43726</v>
      </c>
      <c r="CR83" s="15">
        <f t="shared" si="46"/>
        <v>43756</v>
      </c>
      <c r="CS83" s="15">
        <f t="shared" si="46"/>
        <v>43786</v>
      </c>
      <c r="CT83" s="15">
        <f t="shared" si="46"/>
        <v>43816</v>
      </c>
      <c r="CU83" s="15">
        <f t="shared" si="46"/>
        <v>43846</v>
      </c>
      <c r="CV83" s="15">
        <f t="shared" si="46"/>
        <v>43876</v>
      </c>
      <c r="CW83" s="15">
        <f t="shared" si="46"/>
        <v>43906</v>
      </c>
      <c r="CX83" s="15">
        <f t="shared" si="46"/>
        <v>43936</v>
      </c>
      <c r="CY83" s="15">
        <f t="shared" si="46"/>
        <v>43966</v>
      </c>
      <c r="CZ83" s="15">
        <f t="shared" si="46"/>
        <v>43996</v>
      </c>
      <c r="DA83" s="15">
        <f t="shared" si="46"/>
        <v>44026</v>
      </c>
      <c r="DB83" s="15">
        <f t="shared" si="46"/>
        <v>44056</v>
      </c>
      <c r="DC83" s="15">
        <f t="shared" si="46"/>
        <v>44086</v>
      </c>
      <c r="DD83" s="15">
        <f t="shared" si="46"/>
        <v>44116</v>
      </c>
      <c r="DE83" s="15">
        <f t="shared" si="46"/>
        <v>44146</v>
      </c>
      <c r="DF83" s="15">
        <f t="shared" si="46"/>
        <v>44176</v>
      </c>
      <c r="DG83" s="15">
        <f t="shared" si="46"/>
        <v>44206</v>
      </c>
      <c r="DH83" s="15">
        <f t="shared" si="46"/>
        <v>44236</v>
      </c>
      <c r="DI83" s="15">
        <f t="shared" si="46"/>
        <v>44266</v>
      </c>
      <c r="DJ83" s="15">
        <f t="shared" si="46"/>
        <v>44296</v>
      </c>
      <c r="DK83" s="15">
        <f t="shared" si="46"/>
        <v>44326</v>
      </c>
      <c r="DL83" s="15">
        <f t="shared" si="46"/>
        <v>44356</v>
      </c>
      <c r="DM83" s="15">
        <f t="shared" si="46"/>
        <v>44386</v>
      </c>
      <c r="DN83" s="15">
        <f t="shared" si="46"/>
        <v>44416</v>
      </c>
      <c r="DO83" s="15">
        <f t="shared" si="46"/>
        <v>44446</v>
      </c>
      <c r="DP83" s="15">
        <f t="shared" si="46"/>
        <v>44476</v>
      </c>
      <c r="DQ83" s="15">
        <f t="shared" si="46"/>
        <v>44506</v>
      </c>
      <c r="DR83" s="15">
        <f t="shared" si="46"/>
        <v>44536</v>
      </c>
      <c r="DS83" s="15">
        <f t="shared" si="46"/>
        <v>44566</v>
      </c>
      <c r="DT83" s="15">
        <f t="shared" si="46"/>
        <v>44596</v>
      </c>
      <c r="DU83" s="15">
        <f t="shared" si="46"/>
        <v>44626</v>
      </c>
      <c r="DV83" s="15">
        <f t="shared" si="46"/>
        <v>44656</v>
      </c>
      <c r="DW83" s="15">
        <f t="shared" si="46"/>
        <v>44686</v>
      </c>
      <c r="DX83" s="15">
        <f t="shared" si="46"/>
        <v>44716</v>
      </c>
      <c r="DY83" s="15">
        <f t="shared" si="46"/>
        <v>44746</v>
      </c>
      <c r="DZ83" s="15">
        <f t="shared" si="46"/>
        <v>44776</v>
      </c>
      <c r="EA83" s="15">
        <f t="shared" si="46"/>
        <v>44806</v>
      </c>
      <c r="EB83" s="15">
        <f t="shared" si="46"/>
        <v>44836</v>
      </c>
      <c r="EC83" s="15">
        <f t="shared" si="46"/>
        <v>44866</v>
      </c>
      <c r="ED83" s="15">
        <f t="shared" si="46"/>
        <v>44896</v>
      </c>
    </row>
    <row r="84" spans="1:144" customFormat="1" ht="15">
      <c r="B84" s="14"/>
      <c r="C84" s="4"/>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row>
    <row r="85" spans="1:144" customFormat="1" ht="15">
      <c r="A85" s="16" t="s">
        <v>71</v>
      </c>
      <c r="B85" s="55" t="s">
        <v>72</v>
      </c>
      <c r="C85" s="4"/>
      <c r="BW85" s="33">
        <v>54.753900000000002</v>
      </c>
      <c r="BX85" s="33">
        <v>54.723210000000002</v>
      </c>
      <c r="BY85" s="33">
        <v>54.72401</v>
      </c>
      <c r="BZ85" s="33">
        <v>54.676439999999999</v>
      </c>
      <c r="CA85" s="33">
        <v>54.806870000000004</v>
      </c>
      <c r="CB85" s="33">
        <v>54.842580000000005</v>
      </c>
      <c r="CC85" s="33">
        <v>54.86506</v>
      </c>
      <c r="CD85" s="35">
        <v>55.003699999999995</v>
      </c>
      <c r="CE85" s="35">
        <v>54.93974</v>
      </c>
      <c r="CF85" s="35">
        <v>55.067250000000001</v>
      </c>
      <c r="CG85" s="35">
        <v>55.437959999999997</v>
      </c>
      <c r="CH85" s="35">
        <v>48.365769999999998</v>
      </c>
      <c r="CI85" s="35">
        <v>55.169550000000001</v>
      </c>
      <c r="CJ85" s="35">
        <v>55.205349999999996</v>
      </c>
      <c r="CK85" s="35">
        <v>55.33399</v>
      </c>
      <c r="CL85" s="35">
        <v>55.16516</v>
      </c>
      <c r="CM85" s="35">
        <v>55.280230000000003</v>
      </c>
      <c r="CN85" s="35">
        <v>55.284570000000002</v>
      </c>
      <c r="CO85" s="35">
        <v>55.091999999999999</v>
      </c>
      <c r="CP85" s="35">
        <v>54.934139999999999</v>
      </c>
      <c r="CQ85" s="35">
        <v>54.913050000000005</v>
      </c>
      <c r="CR85" s="35">
        <v>55.028129999999997</v>
      </c>
      <c r="CS85" s="35">
        <v>55.015550000000005</v>
      </c>
      <c r="CT85" s="35">
        <v>42.623800000000003</v>
      </c>
      <c r="CU85" s="35">
        <v>55.003349999999998</v>
      </c>
      <c r="CV85" s="35">
        <v>55.161089999999994</v>
      </c>
      <c r="CW85" s="35">
        <v>55.20035</v>
      </c>
      <c r="CX85" s="35">
        <v>55.19061</v>
      </c>
      <c r="CY85" s="35">
        <v>55.06964</v>
      </c>
      <c r="CZ85" s="35">
        <v>54.910879999999999</v>
      </c>
      <c r="DA85" s="35">
        <v>54.900400000000005</v>
      </c>
      <c r="DB85" s="35">
        <v>54.798300000000005</v>
      </c>
      <c r="DC85" s="35">
        <v>54.84346</v>
      </c>
      <c r="DD85" s="35">
        <v>54.75067</v>
      </c>
      <c r="DE85" s="35">
        <v>54.601169999999996</v>
      </c>
      <c r="DF85" s="35">
        <v>43.181760000000004</v>
      </c>
      <c r="DG85" s="35">
        <v>54.454269999999994</v>
      </c>
      <c r="DH85" s="35">
        <v>54.502220000000001</v>
      </c>
      <c r="DI85" s="35">
        <v>54.70138</v>
      </c>
      <c r="DJ85" s="35">
        <v>54.612589999999997</v>
      </c>
      <c r="DK85" s="35">
        <v>54.794779999999996</v>
      </c>
      <c r="DL85" s="35">
        <v>55.070860000000003</v>
      </c>
      <c r="DM85" s="35">
        <f>VLOOKUP("7500030",'[1]Input IS ACCTS'!$A$6:$DH$513,94,FALSE)/1000</f>
        <v>55.44567</v>
      </c>
      <c r="DN85" s="35">
        <f>VLOOKUP("7500030",'[1]Input IS ACCTS'!$A$6:$DH$513,95,FALSE)/1000</f>
        <v>55.611719999999998</v>
      </c>
      <c r="DO85" s="35">
        <f>VLOOKUP("7500030",'[1]Input IS ACCTS'!$A$6:$DH$513,96,FALSE)/1000</f>
        <v>55.997819999999997</v>
      </c>
      <c r="DP85" s="35">
        <f>VLOOKUP("7500030",'[1]Input IS ACCTS'!$A$6:$DH$513,97,FALSE)/1000</f>
        <v>56.225650000000002</v>
      </c>
      <c r="DQ85" s="35">
        <f>VLOOKUP("7500030",'[1]Input IS ACCTS'!$A$6:$DH$513,98,FALSE)/1000</f>
        <v>56.674930000000003</v>
      </c>
      <c r="DR85" s="35">
        <f>VLOOKUP("7500030",'[1]Input IS ACCTS'!$A$6:$DH$513,99,FALSE)/1000</f>
        <v>46.80744</v>
      </c>
      <c r="DS85" s="35">
        <f>VLOOKUP("7500030",'[1]Input IS ACCTS'!$A$6:$DH$513,100,FALSE)/1000</f>
        <v>57.503329999999998</v>
      </c>
      <c r="DT85" s="35">
        <f>VLOOKUP("7500030",'[1]Input IS ACCTS'!$A$6:$DH$513,101,FALSE)/1000</f>
        <v>57.771410000000003</v>
      </c>
      <c r="DU85" s="35">
        <f>VLOOKUP("7500030",'[1]Input IS ACCTS'!$A$6:$DH$513,102,FALSE)/1000</f>
        <v>58.107459999999996</v>
      </c>
      <c r="DV85" s="35">
        <f>VLOOKUP("7500030",'[1]Input IS ACCTS'!$A$6:$DH$513,103,FALSE)/1000</f>
        <v>58.306139999999999</v>
      </c>
      <c r="DW85" s="35">
        <f>VLOOKUP("7500030",'[1]Input IS ACCTS'!$A$6:$DH$513,104,FALSE)/1000</f>
        <v>58.701509999999999</v>
      </c>
      <c r="DX85" s="35">
        <f>VLOOKUP("7500030",'[1]Input IS ACCTS'!$A$6:$DH$513,105,FALSE)/1000</f>
        <v>59.319919999999996</v>
      </c>
      <c r="DY85" s="35">
        <f>VLOOKUP("7500030",'[1]Input IS ACCTS'!$A$6:$DH$513,106,FALSE)/1000</f>
        <v>59.722239999999999</v>
      </c>
      <c r="DZ85" s="35">
        <f>VLOOKUP("7500030",'[1]Input IS ACCTS'!$A$6:$DH$513,107,FALSE)/1000</f>
        <v>60.098949999999995</v>
      </c>
      <c r="EA85" s="35">
        <f>VLOOKUP("7500030",'[1]Input IS ACCTS'!$A$6:$DH$513,108,FALSE)/1000</f>
        <v>60.62424</v>
      </c>
      <c r="EB85" s="35">
        <f>VLOOKUP("7500030",'[1]Input IS ACCTS'!$A$6:$DH$513,109,FALSE)/1000</f>
        <v>60.904249999999998</v>
      </c>
      <c r="EC85" s="35">
        <f>VLOOKUP("7500030",'[1]Input IS ACCTS'!$A$6:$DH$513,110,FALSE)/1000</f>
        <v>61.298940000000002</v>
      </c>
      <c r="ED85" s="35">
        <f>VLOOKUP("7500030",'[1]Input IS ACCTS'!$A$6:$DH$513,111,FALSE)/1000</f>
        <v>51.968530000000001</v>
      </c>
    </row>
    <row r="86" spans="1:144" customFormat="1" ht="15">
      <c r="B86" s="24" t="s">
        <v>73</v>
      </c>
      <c r="C86" s="4"/>
      <c r="BW86" s="52">
        <f t="shared" ref="BW86:CT86" si="47">SUM(BW85:BW85)</f>
        <v>54.753900000000002</v>
      </c>
      <c r="BX86" s="52">
        <f t="shared" si="47"/>
        <v>54.723210000000002</v>
      </c>
      <c r="BY86" s="52">
        <f t="shared" si="47"/>
        <v>54.72401</v>
      </c>
      <c r="BZ86" s="52">
        <f t="shared" si="47"/>
        <v>54.676439999999999</v>
      </c>
      <c r="CA86" s="52">
        <f t="shared" si="47"/>
        <v>54.806870000000004</v>
      </c>
      <c r="CB86" s="52">
        <f t="shared" si="47"/>
        <v>54.842580000000005</v>
      </c>
      <c r="CC86" s="52">
        <f t="shared" si="47"/>
        <v>54.86506</v>
      </c>
      <c r="CD86" s="52">
        <f t="shared" si="47"/>
        <v>55.003699999999995</v>
      </c>
      <c r="CE86" s="52">
        <f t="shared" si="47"/>
        <v>54.93974</v>
      </c>
      <c r="CF86" s="52">
        <f t="shared" si="47"/>
        <v>55.067250000000001</v>
      </c>
      <c r="CG86" s="52">
        <f t="shared" si="47"/>
        <v>55.437959999999997</v>
      </c>
      <c r="CH86" s="52">
        <f t="shared" si="47"/>
        <v>48.365769999999998</v>
      </c>
      <c r="CI86" s="52">
        <f t="shared" si="47"/>
        <v>55.169550000000001</v>
      </c>
      <c r="CJ86" s="52">
        <f t="shared" si="47"/>
        <v>55.205349999999996</v>
      </c>
      <c r="CK86" s="52">
        <f t="shared" si="47"/>
        <v>55.33399</v>
      </c>
      <c r="CL86" s="52">
        <f t="shared" si="47"/>
        <v>55.16516</v>
      </c>
      <c r="CM86" s="52">
        <f t="shared" si="47"/>
        <v>55.280230000000003</v>
      </c>
      <c r="CN86" s="52">
        <f t="shared" si="47"/>
        <v>55.284570000000002</v>
      </c>
      <c r="CO86" s="52">
        <f t="shared" si="47"/>
        <v>55.091999999999999</v>
      </c>
      <c r="CP86" s="52">
        <f t="shared" si="47"/>
        <v>54.934139999999999</v>
      </c>
      <c r="CQ86" s="52">
        <f t="shared" si="47"/>
        <v>54.913050000000005</v>
      </c>
      <c r="CR86" s="52">
        <f t="shared" si="47"/>
        <v>55.028129999999997</v>
      </c>
      <c r="CS86" s="52">
        <f t="shared" si="47"/>
        <v>55.015550000000005</v>
      </c>
      <c r="CT86" s="52">
        <f t="shared" si="47"/>
        <v>42.623800000000003</v>
      </c>
      <c r="CU86" s="52">
        <f t="shared" ref="CU86:ED86" si="48">SUM(CU85:CU85)</f>
        <v>55.003349999999998</v>
      </c>
      <c r="CV86" s="52">
        <f t="shared" si="48"/>
        <v>55.161089999999994</v>
      </c>
      <c r="CW86" s="52">
        <f t="shared" si="48"/>
        <v>55.20035</v>
      </c>
      <c r="CX86" s="52">
        <f t="shared" si="48"/>
        <v>55.19061</v>
      </c>
      <c r="CY86" s="52">
        <f t="shared" si="48"/>
        <v>55.06964</v>
      </c>
      <c r="CZ86" s="52">
        <f t="shared" si="48"/>
        <v>54.910879999999999</v>
      </c>
      <c r="DA86" s="52">
        <f t="shared" si="48"/>
        <v>54.900400000000005</v>
      </c>
      <c r="DB86" s="52">
        <f t="shared" si="48"/>
        <v>54.798300000000005</v>
      </c>
      <c r="DC86" s="52">
        <f t="shared" si="48"/>
        <v>54.84346</v>
      </c>
      <c r="DD86" s="52">
        <f t="shared" si="48"/>
        <v>54.75067</v>
      </c>
      <c r="DE86" s="52">
        <f t="shared" si="48"/>
        <v>54.601169999999996</v>
      </c>
      <c r="DF86" s="52">
        <f t="shared" si="48"/>
        <v>43.181760000000004</v>
      </c>
      <c r="DG86" s="52">
        <f t="shared" si="48"/>
        <v>54.454269999999994</v>
      </c>
      <c r="DH86" s="52">
        <f t="shared" si="48"/>
        <v>54.502220000000001</v>
      </c>
      <c r="DI86" s="52">
        <f t="shared" si="48"/>
        <v>54.70138</v>
      </c>
      <c r="DJ86" s="52">
        <f t="shared" si="48"/>
        <v>54.612589999999997</v>
      </c>
      <c r="DK86" s="52">
        <f t="shared" si="48"/>
        <v>54.794779999999996</v>
      </c>
      <c r="DL86" s="52">
        <f t="shared" si="48"/>
        <v>55.070860000000003</v>
      </c>
      <c r="DM86" s="52">
        <f t="shared" si="48"/>
        <v>55.44567</v>
      </c>
      <c r="DN86" s="52">
        <f t="shared" si="48"/>
        <v>55.611719999999998</v>
      </c>
      <c r="DO86" s="52">
        <f t="shared" si="48"/>
        <v>55.997819999999997</v>
      </c>
      <c r="DP86" s="52">
        <f t="shared" si="48"/>
        <v>56.225650000000002</v>
      </c>
      <c r="DQ86" s="52">
        <f t="shared" si="48"/>
        <v>56.674930000000003</v>
      </c>
      <c r="DR86" s="52">
        <f t="shared" si="48"/>
        <v>46.80744</v>
      </c>
      <c r="DS86" s="52">
        <f t="shared" si="48"/>
        <v>57.503329999999998</v>
      </c>
      <c r="DT86" s="52">
        <f t="shared" si="48"/>
        <v>57.771410000000003</v>
      </c>
      <c r="DU86" s="52">
        <f t="shared" si="48"/>
        <v>58.107459999999996</v>
      </c>
      <c r="DV86" s="52">
        <f t="shared" si="48"/>
        <v>58.306139999999999</v>
      </c>
      <c r="DW86" s="52">
        <f t="shared" si="48"/>
        <v>58.701509999999999</v>
      </c>
      <c r="DX86" s="52">
        <f t="shared" si="48"/>
        <v>59.319919999999996</v>
      </c>
      <c r="DY86" s="52">
        <f t="shared" si="48"/>
        <v>59.722239999999999</v>
      </c>
      <c r="DZ86" s="52">
        <f t="shared" si="48"/>
        <v>60.098949999999995</v>
      </c>
      <c r="EA86" s="52">
        <f t="shared" si="48"/>
        <v>60.62424</v>
      </c>
      <c r="EB86" s="52">
        <f t="shared" si="48"/>
        <v>60.904249999999998</v>
      </c>
      <c r="EC86" s="52">
        <f t="shared" si="48"/>
        <v>61.298940000000002</v>
      </c>
      <c r="ED86" s="52">
        <f t="shared" si="48"/>
        <v>51.968530000000001</v>
      </c>
    </row>
    <row r="87" spans="1:144" customFormat="1" ht="15">
      <c r="C87" s="4"/>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row>
    <row r="88" spans="1:144" customFormat="1" ht="15">
      <c r="B88" s="55" t="s">
        <v>74</v>
      </c>
      <c r="C88" s="4"/>
      <c r="BW88" s="52"/>
      <c r="BX88" s="52"/>
      <c r="BY88" s="52"/>
      <c r="BZ88" s="52"/>
      <c r="CA88" s="52"/>
      <c r="CB88" s="52"/>
      <c r="CC88" s="52"/>
      <c r="CD88" s="52"/>
      <c r="CE88" s="52"/>
      <c r="CF88" s="52"/>
      <c r="CG88" s="52"/>
      <c r="CH88" s="52"/>
      <c r="CI88" s="52">
        <f t="shared" ref="CI88:ED88" si="49">SUM(BX86:CI86)</f>
        <v>652.62214000000006</v>
      </c>
      <c r="CJ88" s="52">
        <f t="shared" si="49"/>
        <v>653.1042799999999</v>
      </c>
      <c r="CK88" s="26">
        <f t="shared" si="49"/>
        <v>653.71425999999997</v>
      </c>
      <c r="CL88" s="26">
        <f t="shared" si="49"/>
        <v>654.20297999999991</v>
      </c>
      <c r="CM88" s="26">
        <f t="shared" si="49"/>
        <v>654.67633999999998</v>
      </c>
      <c r="CN88" s="26">
        <f t="shared" si="49"/>
        <v>655.11833000000001</v>
      </c>
      <c r="CO88" s="26">
        <f t="shared" si="49"/>
        <v>655.34527000000003</v>
      </c>
      <c r="CP88" s="26">
        <f t="shared" si="49"/>
        <v>655.27571</v>
      </c>
      <c r="CQ88" s="26">
        <f t="shared" si="49"/>
        <v>655.24901999999997</v>
      </c>
      <c r="CR88" s="26">
        <f t="shared" si="49"/>
        <v>655.20989999999995</v>
      </c>
      <c r="CS88" s="26">
        <f t="shared" si="49"/>
        <v>654.78749000000005</v>
      </c>
      <c r="CT88" s="26">
        <f t="shared" si="49"/>
        <v>649.0455199999999</v>
      </c>
      <c r="CU88" s="26">
        <f t="shared" si="49"/>
        <v>648.87931999999989</v>
      </c>
      <c r="CV88" s="26">
        <f t="shared" si="49"/>
        <v>648.83505999999988</v>
      </c>
      <c r="CW88" s="26">
        <f t="shared" si="49"/>
        <v>648.70141999999987</v>
      </c>
      <c r="CX88" s="26">
        <f t="shared" si="49"/>
        <v>648.72686999999996</v>
      </c>
      <c r="CY88" s="26">
        <f t="shared" si="49"/>
        <v>648.51628000000005</v>
      </c>
      <c r="CZ88" s="26">
        <f t="shared" si="49"/>
        <v>648.14259000000015</v>
      </c>
      <c r="DA88" s="26">
        <f t="shared" si="49"/>
        <v>647.95099000000005</v>
      </c>
      <c r="DB88" s="26">
        <f t="shared" si="49"/>
        <v>647.81515000000002</v>
      </c>
      <c r="DC88" s="26">
        <f t="shared" si="49"/>
        <v>647.74556000000018</v>
      </c>
      <c r="DD88" s="26">
        <f t="shared" si="49"/>
        <v>647.46810000000005</v>
      </c>
      <c r="DE88" s="26">
        <f t="shared" si="49"/>
        <v>647.05372</v>
      </c>
      <c r="DF88" s="26">
        <f t="shared" si="49"/>
        <v>647.61167999999998</v>
      </c>
      <c r="DG88" s="26">
        <f t="shared" si="49"/>
        <v>647.06259999999997</v>
      </c>
      <c r="DH88" s="26">
        <f t="shared" si="49"/>
        <v>646.40373</v>
      </c>
      <c r="DI88" s="26">
        <f t="shared" si="49"/>
        <v>645.9047599999999</v>
      </c>
      <c r="DJ88" s="26">
        <f t="shared" si="49"/>
        <v>645.32673999999997</v>
      </c>
      <c r="DK88" s="26">
        <f t="shared" si="49"/>
        <v>645.05187999999998</v>
      </c>
      <c r="DL88" s="26">
        <f t="shared" si="49"/>
        <v>645.21186</v>
      </c>
      <c r="DM88" s="26">
        <f t="shared" si="49"/>
        <v>645.75713000000007</v>
      </c>
      <c r="DN88" s="26">
        <f t="shared" si="49"/>
        <v>646.57055000000003</v>
      </c>
      <c r="DO88" s="26">
        <f t="shared" si="49"/>
        <v>647.72491000000002</v>
      </c>
      <c r="DP88" s="26">
        <f t="shared" si="49"/>
        <v>649.19988999999998</v>
      </c>
      <c r="DQ88" s="26">
        <f t="shared" si="49"/>
        <v>651.27364999999998</v>
      </c>
      <c r="DR88" s="26">
        <f t="shared" si="49"/>
        <v>654.89933000000008</v>
      </c>
      <c r="DS88" s="26">
        <f t="shared" si="49"/>
        <v>657.94839000000002</v>
      </c>
      <c r="DT88" s="26">
        <f t="shared" si="49"/>
        <v>661.21758</v>
      </c>
      <c r="DU88" s="26">
        <f t="shared" si="49"/>
        <v>664.62365999999997</v>
      </c>
      <c r="DV88" s="26">
        <f t="shared" si="49"/>
        <v>668.31720999999993</v>
      </c>
      <c r="DW88" s="26">
        <f t="shared" si="49"/>
        <v>672.22393999999997</v>
      </c>
      <c r="DX88" s="26">
        <f t="shared" si="49"/>
        <v>676.47299999999996</v>
      </c>
      <c r="DY88" s="26">
        <f t="shared" si="49"/>
        <v>680.74956999999995</v>
      </c>
      <c r="DZ88" s="26">
        <f t="shared" si="49"/>
        <v>685.23680000000002</v>
      </c>
      <c r="EA88" s="26">
        <f t="shared" si="49"/>
        <v>689.86321999999996</v>
      </c>
      <c r="EB88" s="26">
        <f t="shared" si="49"/>
        <v>694.54181999999992</v>
      </c>
      <c r="EC88" s="26">
        <f t="shared" si="49"/>
        <v>699.16583000000003</v>
      </c>
      <c r="ED88" s="26">
        <f t="shared" si="49"/>
        <v>704.32692000000009</v>
      </c>
    </row>
    <row r="89" spans="1:144" customFormat="1" ht="15">
      <c r="C89" s="4"/>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row>
    <row r="90" spans="1:144" customFormat="1" ht="15.75">
      <c r="B90" s="2" t="s">
        <v>75</v>
      </c>
      <c r="C90" s="4"/>
      <c r="BW90" s="56"/>
      <c r="BX90" s="56"/>
      <c r="BY90" s="56"/>
      <c r="BZ90" s="56"/>
      <c r="CA90" s="56"/>
      <c r="CB90" s="56"/>
      <c r="CC90" s="56"/>
      <c r="CD90" s="56"/>
      <c r="CE90" s="56"/>
      <c r="CF90" s="56"/>
      <c r="CG90" s="56"/>
      <c r="CH90" s="56"/>
      <c r="CI90" s="56">
        <f t="shared" ref="CI90:ED90" si="50">ROUND(CI88/CI79,4)</f>
        <v>2.4500000000000001E-2</v>
      </c>
      <c r="CJ90" s="56">
        <f t="shared" si="50"/>
        <v>2.46E-2</v>
      </c>
      <c r="CK90" s="38">
        <f t="shared" si="50"/>
        <v>2.46E-2</v>
      </c>
      <c r="CL90" s="38">
        <f t="shared" si="50"/>
        <v>2.47E-2</v>
      </c>
      <c r="CM90" s="38">
        <f t="shared" si="50"/>
        <v>2.47E-2</v>
      </c>
      <c r="CN90" s="38">
        <f t="shared" si="50"/>
        <v>2.47E-2</v>
      </c>
      <c r="CO90" s="38">
        <f t="shared" si="50"/>
        <v>2.4799999999999999E-2</v>
      </c>
      <c r="CP90" s="38">
        <f t="shared" si="50"/>
        <v>2.4799999999999999E-2</v>
      </c>
      <c r="CQ90" s="38">
        <f t="shared" si="50"/>
        <v>2.4799999999999999E-2</v>
      </c>
      <c r="CR90" s="38">
        <f t="shared" si="50"/>
        <v>2.4799999999999999E-2</v>
      </c>
      <c r="CS90" s="38">
        <f t="shared" si="50"/>
        <v>2.4799999999999999E-2</v>
      </c>
      <c r="CT90" s="38">
        <f t="shared" si="50"/>
        <v>2.46E-2</v>
      </c>
      <c r="CU90" s="38">
        <f t="shared" si="50"/>
        <v>2.46E-2</v>
      </c>
      <c r="CV90" s="38">
        <f t="shared" si="50"/>
        <v>2.46E-2</v>
      </c>
      <c r="CW90" s="38">
        <f t="shared" si="50"/>
        <v>2.46E-2</v>
      </c>
      <c r="CX90" s="38">
        <f t="shared" si="50"/>
        <v>2.47E-2</v>
      </c>
      <c r="CY90" s="38">
        <f t="shared" si="50"/>
        <v>2.47E-2</v>
      </c>
      <c r="CZ90" s="38">
        <f t="shared" si="50"/>
        <v>2.47E-2</v>
      </c>
      <c r="DA90" s="38">
        <f t="shared" si="50"/>
        <v>2.47E-2</v>
      </c>
      <c r="DB90" s="38">
        <f t="shared" si="50"/>
        <v>2.47E-2</v>
      </c>
      <c r="DC90" s="38">
        <f t="shared" si="50"/>
        <v>2.47E-2</v>
      </c>
      <c r="DD90" s="38">
        <f t="shared" si="50"/>
        <v>2.47E-2</v>
      </c>
      <c r="DE90" s="38">
        <f t="shared" si="50"/>
        <v>2.47E-2</v>
      </c>
      <c r="DF90" s="38">
        <f t="shared" si="50"/>
        <v>2.4799999999999999E-2</v>
      </c>
      <c r="DG90" s="38">
        <f t="shared" si="50"/>
        <v>2.4799999999999999E-2</v>
      </c>
      <c r="DH90" s="38">
        <f t="shared" si="50"/>
        <v>2.4799999999999999E-2</v>
      </c>
      <c r="DI90" s="38">
        <f t="shared" si="50"/>
        <v>2.4799999999999999E-2</v>
      </c>
      <c r="DJ90" s="38">
        <f t="shared" si="50"/>
        <v>2.4799999999999999E-2</v>
      </c>
      <c r="DK90" s="38">
        <f t="shared" si="50"/>
        <v>2.4799999999999999E-2</v>
      </c>
      <c r="DL90" s="38">
        <f t="shared" si="50"/>
        <v>2.4799999999999999E-2</v>
      </c>
      <c r="DM90" s="38">
        <f t="shared" si="50"/>
        <v>2.4799999999999999E-2</v>
      </c>
      <c r="DN90" s="38">
        <f t="shared" si="50"/>
        <v>2.4799999999999999E-2</v>
      </c>
      <c r="DO90" s="38">
        <f t="shared" si="50"/>
        <v>2.4799999999999999E-2</v>
      </c>
      <c r="DP90" s="38">
        <f t="shared" si="50"/>
        <v>2.4799999999999999E-2</v>
      </c>
      <c r="DQ90" s="38">
        <f t="shared" si="50"/>
        <v>2.4899999999999999E-2</v>
      </c>
      <c r="DR90" s="38">
        <f t="shared" si="50"/>
        <v>2.4899999999999999E-2</v>
      </c>
      <c r="DS90" s="38">
        <f t="shared" si="50"/>
        <v>2.4899999999999999E-2</v>
      </c>
      <c r="DT90" s="38">
        <f t="shared" si="50"/>
        <v>2.4899999999999999E-2</v>
      </c>
      <c r="DU90" s="38">
        <f t="shared" si="50"/>
        <v>2.4899999999999999E-2</v>
      </c>
      <c r="DV90" s="38">
        <f t="shared" si="50"/>
        <v>2.4899999999999999E-2</v>
      </c>
      <c r="DW90" s="38">
        <f t="shared" si="50"/>
        <v>2.4899999999999999E-2</v>
      </c>
      <c r="DX90" s="38">
        <f t="shared" si="50"/>
        <v>2.4899999999999999E-2</v>
      </c>
      <c r="DY90" s="38">
        <f t="shared" si="50"/>
        <v>2.4899999999999999E-2</v>
      </c>
      <c r="DZ90" s="38">
        <f t="shared" si="50"/>
        <v>2.4899999999999999E-2</v>
      </c>
      <c r="EA90" s="38">
        <f t="shared" si="50"/>
        <v>2.4799999999999999E-2</v>
      </c>
      <c r="EB90" s="38">
        <f t="shared" si="50"/>
        <v>2.4799999999999999E-2</v>
      </c>
      <c r="EC90" s="38">
        <f t="shared" si="50"/>
        <v>2.4799999999999999E-2</v>
      </c>
      <c r="ED90" s="38">
        <f t="shared" si="50"/>
        <v>2.4799999999999999E-2</v>
      </c>
    </row>
    <row r="91" spans="1:144" customFormat="1" ht="15">
      <c r="C91" s="4"/>
      <c r="BW91" s="52"/>
      <c r="BX91" s="52"/>
      <c r="BY91" s="52"/>
      <c r="BZ91" s="52"/>
      <c r="CA91" s="52"/>
      <c r="CB91" s="52"/>
      <c r="CC91" s="52"/>
      <c r="CD91" s="52"/>
      <c r="CE91" s="52"/>
      <c r="CF91" s="52"/>
      <c r="CG91" s="52"/>
      <c r="CH91" s="52"/>
      <c r="CI91" s="52"/>
      <c r="CJ91" s="52"/>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row>
    <row r="92" spans="1:144" customFormat="1" ht="15.75">
      <c r="B92" s="2" t="s">
        <v>76</v>
      </c>
      <c r="C92" s="4"/>
      <c r="BW92" s="56"/>
      <c r="BX92" s="56"/>
      <c r="BY92" s="56"/>
      <c r="BZ92" s="56"/>
      <c r="CA92" s="56"/>
      <c r="CB92" s="56"/>
      <c r="CC92" s="56"/>
      <c r="CD92" s="56"/>
      <c r="CE92" s="56"/>
      <c r="CF92" s="56"/>
      <c r="CG92" s="56"/>
      <c r="CH92" s="56"/>
      <c r="CI92" s="56">
        <f t="shared" ref="CI92:ED92" si="51">ROUND(CI88/CI77,4)</f>
        <v>2.47E-2</v>
      </c>
      <c r="CJ92" s="56">
        <f t="shared" si="51"/>
        <v>2.47E-2</v>
      </c>
      <c r="CK92" s="38">
        <f t="shared" si="51"/>
        <v>2.47E-2</v>
      </c>
      <c r="CL92" s="38">
        <f t="shared" si="51"/>
        <v>2.4799999999999999E-2</v>
      </c>
      <c r="CM92" s="38">
        <f t="shared" si="51"/>
        <v>2.4799999999999999E-2</v>
      </c>
      <c r="CN92" s="38">
        <f t="shared" si="51"/>
        <v>2.4799999999999999E-2</v>
      </c>
      <c r="CO92" s="38">
        <f t="shared" si="51"/>
        <v>2.4799999999999999E-2</v>
      </c>
      <c r="CP92" s="38">
        <f t="shared" si="51"/>
        <v>2.4899999999999999E-2</v>
      </c>
      <c r="CQ92" s="38">
        <f t="shared" si="51"/>
        <v>2.5000000000000001E-2</v>
      </c>
      <c r="CR92" s="38">
        <f t="shared" si="51"/>
        <v>2.4899999999999999E-2</v>
      </c>
      <c r="CS92" s="38">
        <f t="shared" si="51"/>
        <v>2.4899999999999999E-2</v>
      </c>
      <c r="CT92" s="38">
        <f t="shared" si="51"/>
        <v>2.47E-2</v>
      </c>
      <c r="CU92" s="38">
        <f t="shared" si="51"/>
        <v>2.47E-2</v>
      </c>
      <c r="CV92" s="38">
        <f t="shared" si="51"/>
        <v>2.46E-2</v>
      </c>
      <c r="CW92" s="38">
        <f t="shared" si="51"/>
        <v>2.46E-2</v>
      </c>
      <c r="CX92" s="38">
        <f t="shared" si="51"/>
        <v>2.47E-2</v>
      </c>
      <c r="CY92" s="38">
        <f t="shared" si="51"/>
        <v>2.4799999999999999E-2</v>
      </c>
      <c r="CZ92" s="38">
        <f t="shared" si="51"/>
        <v>2.4799999999999999E-2</v>
      </c>
      <c r="DA92" s="38">
        <f t="shared" si="51"/>
        <v>2.4799999999999999E-2</v>
      </c>
      <c r="DB92" s="38">
        <f t="shared" si="51"/>
        <v>2.4899999999999999E-2</v>
      </c>
      <c r="DC92" s="38">
        <f t="shared" si="51"/>
        <v>2.4899999999999999E-2</v>
      </c>
      <c r="DD92" s="38">
        <f t="shared" si="51"/>
        <v>2.4899999999999999E-2</v>
      </c>
      <c r="DE92" s="38">
        <f t="shared" si="51"/>
        <v>2.4899999999999999E-2</v>
      </c>
      <c r="DF92" s="38">
        <f t="shared" si="51"/>
        <v>2.52E-2</v>
      </c>
      <c r="DG92" s="38">
        <f t="shared" si="51"/>
        <v>2.5000000000000001E-2</v>
      </c>
      <c r="DH92" s="38">
        <f t="shared" si="51"/>
        <v>2.4899999999999999E-2</v>
      </c>
      <c r="DI92" s="38">
        <f t="shared" si="51"/>
        <v>2.4799999999999999E-2</v>
      </c>
      <c r="DJ92" s="38">
        <f t="shared" si="51"/>
        <v>2.4899999999999999E-2</v>
      </c>
      <c r="DK92" s="38">
        <f t="shared" si="51"/>
        <v>2.4799999999999999E-2</v>
      </c>
      <c r="DL92" s="38">
        <f t="shared" si="51"/>
        <v>2.47E-2</v>
      </c>
      <c r="DM92" s="38">
        <f t="shared" si="51"/>
        <v>2.4500000000000001E-2</v>
      </c>
      <c r="DN92" s="38">
        <f t="shared" si="51"/>
        <v>2.4500000000000001E-2</v>
      </c>
      <c r="DO92" s="38">
        <f t="shared" si="51"/>
        <v>2.4400000000000002E-2</v>
      </c>
      <c r="DP92" s="38">
        <f t="shared" si="51"/>
        <v>2.4299999999999999E-2</v>
      </c>
      <c r="DQ92" s="38">
        <f t="shared" si="51"/>
        <v>2.4199999999999999E-2</v>
      </c>
      <c r="DR92" s="38">
        <f t="shared" si="51"/>
        <v>2.4199999999999999E-2</v>
      </c>
      <c r="DS92" s="38">
        <f t="shared" si="51"/>
        <v>2.4E-2</v>
      </c>
      <c r="DT92" s="38">
        <f t="shared" si="51"/>
        <v>2.4E-2</v>
      </c>
      <c r="DU92" s="38">
        <f t="shared" si="51"/>
        <v>2.4E-2</v>
      </c>
      <c r="DV92" s="38">
        <f t="shared" si="51"/>
        <v>2.4E-2</v>
      </c>
      <c r="DW92" s="38">
        <f t="shared" si="51"/>
        <v>2.3900000000000001E-2</v>
      </c>
      <c r="DX92" s="38">
        <f t="shared" si="51"/>
        <v>2.3800000000000002E-2</v>
      </c>
      <c r="DY92" s="38">
        <f t="shared" si="51"/>
        <v>2.3800000000000002E-2</v>
      </c>
      <c r="DZ92" s="38">
        <f t="shared" si="51"/>
        <v>2.3699999999999999E-2</v>
      </c>
      <c r="EA92" s="38">
        <f t="shared" si="51"/>
        <v>2.3699999999999999E-2</v>
      </c>
      <c r="EB92" s="38">
        <f t="shared" si="51"/>
        <v>2.3699999999999999E-2</v>
      </c>
      <c r="EC92" s="38">
        <f t="shared" si="51"/>
        <v>2.3699999999999999E-2</v>
      </c>
      <c r="ED92" s="38">
        <f t="shared" si="51"/>
        <v>2.35E-2</v>
      </c>
    </row>
    <row r="93" spans="1:144" ht="15">
      <c r="C93" s="4"/>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EN93"/>
    </row>
    <row r="94" spans="1:14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EN94"/>
    </row>
    <row r="95" spans="1:144">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EN95"/>
    </row>
    <row r="96" spans="1:144">
      <c r="EN96"/>
    </row>
    <row r="97" spans="144:144">
      <c r="EN97"/>
    </row>
  </sheetData>
  <mergeCells count="1">
    <mergeCell ref="EF21:EM22"/>
  </mergeCells>
  <pageMargins left="0.25" right="0.25" top="0.75" bottom="0.75" header="0.3" footer="0.3"/>
  <pageSetup scale="31" fitToHeight="0" orientation="landscape"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9469E761E20748A773F85B33816D32" ma:contentTypeVersion="2" ma:contentTypeDescription="Create a new document." ma:contentTypeScope="" ma:versionID="e5268eab065339c051eaf8aaeff5f44b">
  <xsd:schema xmlns:xsd="http://www.w3.org/2001/XMLSchema" xmlns:xs="http://www.w3.org/2001/XMLSchema" xmlns:p="http://schemas.microsoft.com/office/2006/metadata/properties" xmlns:ns2="9bbac886-2f20-4c15-ac8f-bd6773befed2" targetNamespace="http://schemas.microsoft.com/office/2006/metadata/properties" ma:root="true" ma:fieldsID="8de529939eb037e419d1462f88b80023" ns2:_="">
    <xsd:import namespace="9bbac886-2f20-4c15-ac8f-bd6773befed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ac886-2f20-4c15-ac8f-bd6773bef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60E33-DBE7-4B98-9EC2-943B1C9E0D9C}"/>
</file>

<file path=customXml/itemProps2.xml><?xml version="1.0" encoding="utf-8"?>
<ds:datastoreItem xmlns:ds="http://schemas.openxmlformats.org/officeDocument/2006/customXml" ds:itemID="{B5A43517-BF73-4E28-8898-48F4ECC1516B}"/>
</file>

<file path=customXml/itemProps3.xml><?xml version="1.0" encoding="utf-8"?>
<ds:datastoreItem xmlns:ds="http://schemas.openxmlformats.org/officeDocument/2006/customXml" ds:itemID="{EA944C82-DDF2-40A0-9C94-75493CF71A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Debt &amp; Cust Dep</vt:lpstr>
      <vt:lpstr>'Debt &amp; Cust Dep'!Print_Area</vt:lpstr>
    </vt:vector>
  </TitlesOfParts>
  <Company>TECO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Matthew E.</dc:creator>
  <cp:lastModifiedBy>Elliott, Matthew E.</cp:lastModifiedBy>
  <dcterms:created xsi:type="dcterms:W3CDTF">2023-02-23T03:39:01Z</dcterms:created>
  <dcterms:modified xsi:type="dcterms:W3CDTF">2023-02-23T03:44:16Z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2023-02-23T03:39:07Z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82b48708-b34f-4eb3-b01c-6288d3217c65</vt:lpwstr>
  </property>
  <property fmtid="{D5CDD505-2E9C-101B-9397-08002B2CF9AE}" pid="8" name="MSIP_Label_a83f872e-d8d7-43ac-9961-0f2ad31e50e5_ContentBits">
    <vt:lpwstr>0</vt:lpwstr>
  </property>
  <property fmtid="{D5CDD505-2E9C-101B-9397-08002B2CF9AE}" pid="9" name="ContentTypeId">
    <vt:lpwstr>0x0101001B9469E761E20748A773F85B33816D32</vt:lpwstr>
  </property>
</Properties>
</file>